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ver" sheetId="1" state="visible" r:id="rId3"/>
    <sheet name="Assumptions" sheetId="2" state="visible" r:id="rId4"/>
    <sheet name="Operating" sheetId="3" state="visible" r:id="rId5"/>
    <sheet name="S&amp;U" sheetId="4" state="visible" r:id="rId6"/>
    <sheet name="Debt" sheetId="5" state="visible" r:id="rId7"/>
    <sheet name="IS" sheetId="6" state="visible" r:id="rId8"/>
    <sheet name="CF" sheetId="7" state="visible" r:id="rId9"/>
    <sheet name="BS" sheetId="8" state="visible" r:id="rId10"/>
    <sheet name="Returns" sheetId="9" state="visible" r:id="rId11"/>
    <sheet name="Audit" sheetId="10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<sst xmlns="http://schemas.openxmlformats.org/spreadsheetml/2006/main" count="293" uniqueCount="231">
  <si>
    <t xml:space="preserve">PROJECT OXFORD  —  LEVERAGED BUYOUT MODEL</t>
  </si>
  <si>
    <t xml:space="preserve">Weyco Group, Inc. (NASDAQ: WEYS)  ·  Illustrative independent-sponsor take-private</t>
  </si>
  <si>
    <t xml:space="preserve">Prepared by</t>
  </si>
  <si>
    <t xml:space="preserve">Romanos Valeontis</t>
  </si>
  <si>
    <t xml:space="preserve">Engagement</t>
  </si>
  <si>
    <t xml:space="preserve">Illustrative LBO — sample work product</t>
  </si>
  <si>
    <t xml:space="preserve">Target</t>
  </si>
  <si>
    <t xml:space="preserve">Weyco Group, Inc. (footwear: Florsheim, Nunn Bush, Stacy Adams, BOGS)</t>
  </si>
  <si>
    <t xml:space="preserve">Reporting unit</t>
  </si>
  <si>
    <t xml:space="preserve">US$ thousands unless noted</t>
  </si>
  <si>
    <t xml:space="preserve">Entry reference date</t>
  </si>
  <si>
    <t xml:space="preserve">31-Dec-2025 (FY2025 audited actuals)</t>
  </si>
  <si>
    <t xml:space="preserve">Data sources</t>
  </si>
  <si>
    <t xml:space="preserve">Weyco FY2025 Form 10-K (filed 13-Mar-2026); Q1 2026 Form 8-K (5-May-2026); live market quote</t>
  </si>
  <si>
    <t xml:space="preserve">Structure</t>
  </si>
  <si>
    <t xml:space="preserve">Senior term debt + seller note + sponsor equity + management rollover</t>
  </si>
  <si>
    <t xml:space="preserve">Version</t>
  </si>
  <si>
    <t xml:space="preserve">v1.0</t>
  </si>
  <si>
    <t xml:space="preserve">CONTENTS</t>
  </si>
  <si>
    <t xml:space="preserve">Assumptions</t>
  </si>
  <si>
    <t xml:space="preserve">Deal, operating, debt &amp; exit inputs — single source of truth (blue = input)</t>
  </si>
  <si>
    <t xml:space="preserve">Sources &amp; Uses</t>
  </si>
  <si>
    <t xml:space="preserve">Transaction funding and purchase-price allocation</t>
  </si>
  <si>
    <t xml:space="preserve">Operating</t>
  </si>
  <si>
    <t xml:space="preserve">5-year revenue / EBITDA / FCF build from FY2025 actuals</t>
  </si>
  <si>
    <t xml:space="preserve">Debt</t>
  </si>
  <si>
    <t xml:space="preserve">Term loan + seller note rollforward, cash sweep, DSCR covenant</t>
  </si>
  <si>
    <t xml:space="preserve">IS</t>
  </si>
  <si>
    <t xml:space="preserve">Income statement</t>
  </si>
  <si>
    <t xml:space="preserve">CF</t>
  </si>
  <si>
    <t xml:space="preserve">Cash flow statement</t>
  </si>
  <si>
    <t xml:space="preserve">BS</t>
  </si>
  <si>
    <t xml:space="preserve">Balance sheet (opening = pro-forma close)</t>
  </si>
  <si>
    <t xml:space="preserve">Returns</t>
  </si>
  <si>
    <t xml:space="preserve">IRR / MOIC, value-creation bridge, pref + promote waterfall, sensitivities</t>
  </si>
  <si>
    <t xml:space="preserve">Audit</t>
  </si>
  <si>
    <t xml:space="preserve">Integrity checks — ties, errors, covenant, returns sanity</t>
  </si>
  <si>
    <t xml:space="preserve">Illustrative model prepared as a sample work product. Operating history is drawn from Weyco Group's public SEC filings and is factual; the transaction structure, financing terms, and exit assumptions are hypothetical and do not represent an actual or proposed transaction, offer, or investment recommendation. Not investment advice. All figures in US$ thousands unless otherwise noted.</t>
  </si>
  <si>
    <t xml:space="preserve">ASSUMPTIONS</t>
  </si>
  <si>
    <t xml:space="preserve">All inputs in blue. Everything else in the model links here.</t>
  </si>
  <si>
    <t xml:space="preserve">A.  OPERATING  (FY2025 actuals per 10-K; forecast drivers in blue)</t>
  </si>
  <si>
    <t xml:space="preserve">FY25A</t>
  </si>
  <si>
    <t xml:space="preserve">FY26E</t>
  </si>
  <si>
    <t xml:space="preserve">FY27E</t>
  </si>
  <si>
    <t xml:space="preserve">FY28E</t>
  </si>
  <si>
    <t xml:space="preserve">FY29E</t>
  </si>
  <si>
    <t xml:space="preserve">FY30E</t>
  </si>
  <si>
    <t xml:space="preserve">Source / note</t>
  </si>
  <si>
    <t xml:space="preserve">Net sales ($000)</t>
  </si>
  <si>
    <t xml:space="preserve">10-K FY2025, Consolidated Statements of Earnings</t>
  </si>
  <si>
    <t xml:space="preserve">   Revenue growth %</t>
  </si>
  <si>
    <t xml:space="preserve">Forecast: modest recovery post-tariff</t>
  </si>
  <si>
    <t xml:space="preserve">   Gross margin %</t>
  </si>
  <si>
    <t xml:space="preserve">FY25A 43.2%; recovery as tariffs ease</t>
  </si>
  <si>
    <t xml:space="preserve">   S&amp;A expense % of sales</t>
  </si>
  <si>
    <t xml:space="preserve">FY25A $90.06m / sales = 32.6%</t>
  </si>
  <si>
    <t xml:space="preserve">   D&amp;A ($000)</t>
  </si>
  <si>
    <t xml:space="preserve">FY25A D&amp;A $2.88m (CF stmt)</t>
  </si>
  <si>
    <t xml:space="preserve">   Capex ($000)</t>
  </si>
  <si>
    <t xml:space="preserve">FY25A $1.75m; co. guides $1-3m</t>
  </si>
  <si>
    <t xml:space="preserve">   NWC % of sales</t>
  </si>
  <si>
    <t xml:space="preserve">FY25A (AR+Inv-AP)/sales ≈ 33.7%</t>
  </si>
  <si>
    <t xml:space="preserve">   Cash tax rate %</t>
  </si>
  <si>
    <t xml:space="preserve">~26% normalized (FY25 eff. 28%)</t>
  </si>
  <si>
    <t xml:space="preserve">B.  TRANSACTION  (entry at sponsor multiple; live public price shown as cross-check)</t>
  </si>
  <si>
    <t xml:space="preserve">LTM EBITDA ($000)  [= EBIT + D&amp;A, FY25A]</t>
  </si>
  <si>
    <t xml:space="preserve">links to Operating EBITDA FY25A</t>
  </si>
  <si>
    <t xml:space="preserve">Entry EV / EBITDA multiple</t>
  </si>
  <si>
    <t xml:space="preserve">Indep-sponsor LMM range 4.0-6.0x (Citrin Cooperman 2025)</t>
  </si>
  <si>
    <t xml:space="preserve">Enterprise value at entry</t>
  </si>
  <si>
    <t xml:space="preserve">  Public market cross-check ($000)</t>
  </si>
  <si>
    <t xml:space="preserve">~$35/sh × 9.55m sh, live quote 9-Jun-2026</t>
  </si>
  <si>
    <t xml:space="preserve">  Implied public EV/EBITDA cross-check</t>
  </si>
  <si>
    <t xml:space="preserve">C.  FINANCING  (% of total sources)</t>
  </si>
  <si>
    <t xml:space="preserve">Senior term loan  (× LTM EBITDA)</t>
  </si>
  <si>
    <t xml:space="preserve">SBA/bank senior ~2.5-3.0x for LMM</t>
  </si>
  <si>
    <t xml:space="preserve">Seller note  (× LTM EBITDA)</t>
  </si>
  <si>
    <t xml:space="preserve">Seller note 10-20% of cap typical</t>
  </si>
  <si>
    <t xml:space="preserve">Management rollover  (% of equity)</t>
  </si>
  <si>
    <t xml:space="preserve">Mgmt/founder rollover for alignment</t>
  </si>
  <si>
    <t xml:space="preserve">Transaction fees  (% of EV)</t>
  </si>
  <si>
    <t xml:space="preserve">Minimum cash to B/S ($000)</t>
  </si>
  <si>
    <t xml:space="preserve">Senior interest rate %</t>
  </si>
  <si>
    <t xml:space="preserve">SOFR ~4.5% + ~500bps</t>
  </si>
  <si>
    <t xml:space="preserve">Senior mandatory amort %/yr</t>
  </si>
  <si>
    <t xml:space="preserve">Seller note interest rate %</t>
  </si>
  <si>
    <t xml:space="preserve">Cash sweep % of excess FCF</t>
  </si>
  <si>
    <t xml:space="preserve">DSCR covenant (minimum)</t>
  </si>
  <si>
    <t xml:space="preserve">Typical SBA/bank covenant ≥1.25x</t>
  </si>
  <si>
    <t xml:space="preserve">D.  EXIT &amp; RETURNS WATERFALL</t>
  </si>
  <si>
    <t xml:space="preserve">Hold period (years)</t>
  </si>
  <si>
    <t xml:space="preserve">Exit EV / EBITDA multiple</t>
  </si>
  <si>
    <t xml:space="preserve">Held flat to entry (no multiple expansion)</t>
  </si>
  <si>
    <t xml:space="preserve">Preferred return (hurdle) %</t>
  </si>
  <si>
    <t xml:space="preserve">8% standard pref</t>
  </si>
  <si>
    <t xml:space="preserve">Sponsor promote (carry) %</t>
  </si>
  <si>
    <t xml:space="preserve">20% over pref; tiers to 25/30% on this tab if desired</t>
  </si>
  <si>
    <t xml:space="preserve">Promote tier 2 % (above 2.0x MOIC)</t>
  </si>
  <si>
    <t xml:space="preserve">Promote tier 3 % (above 3.0x MOIC)</t>
  </si>
  <si>
    <t xml:space="preserve">OPERATING MODEL</t>
  </si>
  <si>
    <t xml:space="preserve">Revenue → EBITDA → unlevered FCF.  FY25A actual; forecast driven by Assumptions (blue).</t>
  </si>
  <si>
    <t xml:space="preserve">OPERATING BUILD ($000)</t>
  </si>
  <si>
    <t xml:space="preserve">Net sales</t>
  </si>
  <si>
    <t xml:space="preserve">   Cost of sales</t>
  </si>
  <si>
    <t xml:space="preserve">Gross profit</t>
  </si>
  <si>
    <t xml:space="preserve">   Selling &amp; admin (excl. D&amp;A)</t>
  </si>
  <si>
    <t xml:space="preserve">EBITDA</t>
  </si>
  <si>
    <t xml:space="preserve">     EBITDA margin %</t>
  </si>
  <si>
    <t xml:space="preserve">   Depreciation &amp; amortization</t>
  </si>
  <si>
    <t xml:space="preserve">EBIT</t>
  </si>
  <si>
    <t xml:space="preserve">UNLEVERED FREE CASH FLOW ($000)</t>
  </si>
  <si>
    <t xml:space="preserve">Net working capital (level)</t>
  </si>
  <si>
    <t xml:space="preserve">   (Incr.) / decr. in NWC</t>
  </si>
  <si>
    <t xml:space="preserve">   Capex</t>
  </si>
  <si>
    <t xml:space="preserve">Unlevered FCF (pre-tax, pre-int)</t>
  </si>
  <si>
    <t xml:space="preserve">SOURCES &amp; USES</t>
  </si>
  <si>
    <t xml:space="preserve">Entry funding and purchase-price allocation ($000).  Links to Assumptions.</t>
  </si>
  <si>
    <t xml:space="preserve">SOURCES</t>
  </si>
  <si>
    <t xml:space="preserve">USES</t>
  </si>
  <si>
    <t xml:space="preserve">Senior term loan</t>
  </si>
  <si>
    <t xml:space="preserve">Purchase enterprise value</t>
  </si>
  <si>
    <t xml:space="preserve">Seller note</t>
  </si>
  <si>
    <t xml:space="preserve">Cash to balance sheet</t>
  </si>
  <si>
    <t xml:space="preserve">Management rollover equity</t>
  </si>
  <si>
    <t xml:space="preserve">Transaction fees</t>
  </si>
  <si>
    <t xml:space="preserve">Sponsor equity</t>
  </si>
  <si>
    <t xml:space="preserve">  Total equity</t>
  </si>
  <si>
    <t xml:space="preserve">TOTAL SOURCES</t>
  </si>
  <si>
    <t xml:space="preserve">TOTAL USES</t>
  </si>
  <si>
    <t xml:space="preserve">Check (sources − uses = 0)</t>
  </si>
  <si>
    <t xml:space="preserve">DEBT SCHEDULE</t>
  </si>
  <si>
    <t xml:space="preserve">Term loan + seller note rollforward, cash sweep, and DSCR covenant ($000).</t>
  </si>
  <si>
    <t xml:space="preserve">CASH FLOW AVAILABLE FOR DEBT SERVICE</t>
  </si>
  <si>
    <t xml:space="preserve">   (Incr.)/decr. in NWC</t>
  </si>
  <si>
    <t xml:space="preserve">   Cash taxes</t>
  </si>
  <si>
    <t xml:space="preserve">Cash avail. for debt service (CFADS)</t>
  </si>
  <si>
    <t xml:space="preserve">SENIOR TERM LOAN</t>
  </si>
  <si>
    <t xml:space="preserve">Beginning balance</t>
  </si>
  <si>
    <t xml:space="preserve">   Mandatory amortization</t>
  </si>
  <si>
    <t xml:space="preserve">   Cash interest</t>
  </si>
  <si>
    <t xml:space="preserve">   Cash sweep (optional prepay)</t>
  </si>
  <si>
    <t xml:space="preserve">Ending balance</t>
  </si>
  <si>
    <t xml:space="preserve">SELLER NOTE  (standby — interest accrues/pays, no amort until senior repaid)</t>
  </si>
  <si>
    <t xml:space="preserve">DEBT SERVICE &amp; COVENANT</t>
  </si>
  <si>
    <t xml:space="preserve">Total cash interest</t>
  </si>
  <si>
    <t xml:space="preserve">   Total mandatory amortization</t>
  </si>
  <si>
    <t xml:space="preserve">Total debt service</t>
  </si>
  <si>
    <t xml:space="preserve">DSCR (CFADS / debt service)</t>
  </si>
  <si>
    <t xml:space="preserve">Net debt (total debt − min cash)</t>
  </si>
  <si>
    <t xml:space="preserve">Net leverage (debt / EBITDA)</t>
  </si>
  <si>
    <t xml:space="preserve">INCOME STATEMENT</t>
  </si>
  <si>
    <t xml:space="preserve">Levered P&amp;L ($000).  Operating lines link to Operating; interest from Debt.</t>
  </si>
  <si>
    <t xml:space="preserve">INCOME STATEMENT ($000)</t>
  </si>
  <si>
    <t xml:space="preserve">   D&amp;A</t>
  </si>
  <si>
    <t xml:space="preserve">   Interest expense</t>
  </si>
  <si>
    <t xml:space="preserve">Pre-tax income</t>
  </si>
  <si>
    <t xml:space="preserve">   Income taxes</t>
  </si>
  <si>
    <t xml:space="preserve">Net income</t>
  </si>
  <si>
    <t xml:space="preserve">CASH FLOW STATEMENT</t>
  </si>
  <si>
    <t xml:space="preserve">Cash generation, debt paydown, and cash build ($000).</t>
  </si>
  <si>
    <t xml:space="preserve">CASH FLOW ($000)</t>
  </si>
  <si>
    <t xml:space="preserve">   Add: D&amp;A</t>
  </si>
  <si>
    <t xml:space="preserve">Cash from operations</t>
  </si>
  <si>
    <t xml:space="preserve">FCF before debt repayment</t>
  </si>
  <si>
    <t xml:space="preserve">   Senior mandatory amortization</t>
  </si>
  <si>
    <t xml:space="preserve">   Senior cash sweep</t>
  </si>
  <si>
    <t xml:space="preserve">Net change in cash</t>
  </si>
  <si>
    <t xml:space="preserve">Beginning cash</t>
  </si>
  <si>
    <t xml:space="preserve">Ending cash</t>
  </si>
  <si>
    <t xml:space="preserve">BALANCE SHEET</t>
  </si>
  <si>
    <t xml:space="preserve">Pro-forma at close, rolled forward ($000).  Simplified to deal-relevant accounts.</t>
  </si>
  <si>
    <t xml:space="preserve">BALANCE SHEET ($000)</t>
  </si>
  <si>
    <t xml:space="preserve">Cash</t>
  </si>
  <si>
    <t xml:space="preserve">Net working capital (op. assets − liab.)</t>
  </si>
  <si>
    <t xml:space="preserve">Goodwill &amp; intangibles (plug at close)</t>
  </si>
  <si>
    <t xml:space="preserve">PP&amp;E, net</t>
  </si>
  <si>
    <t xml:space="preserve">Total assets</t>
  </si>
  <si>
    <t xml:space="preserve">Total equity (plug roll-forward)</t>
  </si>
  <si>
    <t xml:space="preserve">Total liab. &amp; equity</t>
  </si>
  <si>
    <t xml:space="preserve">Balance check (A − L − E)</t>
  </si>
  <si>
    <t xml:space="preserve">RETURNS ANALYSIS</t>
  </si>
  <si>
    <t xml:space="preserve">Exit value, IRR / MOIC, value-creation bridge, and pref + promote waterfall ($000).</t>
  </si>
  <si>
    <t xml:space="preserve">A.  EXIT &amp; EQUITY VALUE</t>
  </si>
  <si>
    <t xml:space="preserve">Exit-year EBITDA (FY30E)</t>
  </si>
  <si>
    <t xml:space="preserve">Exit EV/EBITDA multiple</t>
  </si>
  <si>
    <t xml:space="preserve">Exit enterprise value</t>
  </si>
  <si>
    <t xml:space="preserve">   Less: net debt at exit</t>
  </si>
  <si>
    <t xml:space="preserve">Exit equity value</t>
  </si>
  <si>
    <t xml:space="preserve">B.  SPONSOR RETURNS (gross, before promote split)</t>
  </si>
  <si>
    <t xml:space="preserve">Total equity invested at close</t>
  </si>
  <si>
    <t xml:space="preserve">MOIC (gross)</t>
  </si>
  <si>
    <t xml:space="preserve">IRR (gross)</t>
  </si>
  <si>
    <t xml:space="preserve">C.  VALUE-CREATION BRIDGE  (sources of equity value gain)</t>
  </si>
  <si>
    <t xml:space="preserve">EBITDA growth  (ΔEBITDA × entry multiple)</t>
  </si>
  <si>
    <t xml:space="preserve">Multiple expansion  (Δmultiple × exit EBITDA)</t>
  </si>
  <si>
    <t xml:space="preserve">Debt paydown / cash build</t>
  </si>
  <si>
    <t xml:space="preserve">(less transaction fees, shown in total)</t>
  </si>
  <si>
    <t xml:space="preserve">Total equity value creation</t>
  </si>
  <si>
    <t xml:space="preserve">     Check vs (exit equity − invested)</t>
  </si>
  <si>
    <t xml:space="preserve">D.  DISTRIBUTION WATERFALL  (pref + tiered promote)</t>
  </si>
  <si>
    <t xml:space="preserve">Equity proceeds at exit</t>
  </si>
  <si>
    <t xml:space="preserve">1. Return of invested capital</t>
  </si>
  <si>
    <t xml:space="preserve">2. Preferred return (8% compounded)</t>
  </si>
  <si>
    <t xml:space="preserve">3. Residual above pref</t>
  </si>
  <si>
    <t xml:space="preserve">      Sponsor promote (carry)</t>
  </si>
  <si>
    <t xml:space="preserve">      To investors (LP share of residual)</t>
  </si>
  <si>
    <t xml:space="preserve">Investor total proceeds</t>
  </si>
  <si>
    <t xml:space="preserve">      Investor MOIC</t>
  </si>
  <si>
    <t xml:space="preserve">   Investor IRR (net of promote)</t>
  </si>
  <si>
    <t xml:space="preserve">MODEL AUDIT</t>
  </si>
  <si>
    <t xml:space="preserve">Integrity &amp; sanity checks.  Green verdict = all ties hold and no errors.</t>
  </si>
  <si>
    <t xml:space="preserve">A.  TRANSACTION &amp; BALANCE TIES</t>
  </si>
  <si>
    <t xml:space="preserve">Sources = Uses (S&amp;U check)</t>
  </si>
  <si>
    <t xml:space="preserve">Capital structure balances at close</t>
  </si>
  <si>
    <t xml:space="preserve">Balance sheet balances (each year)</t>
  </si>
  <si>
    <t xml:space="preserve">  status</t>
  </si>
  <si>
    <t xml:space="preserve">Value-creation bridge ties to equity gain</t>
  </si>
  <si>
    <t xml:space="preserve">B.  COVENANT &amp; RETURNS SANITY</t>
  </si>
  <si>
    <t xml:space="preserve">DSCR each year (≥ covenant)</t>
  </si>
  <si>
    <t xml:space="preserve">Gross MOIC &gt; 1.0x</t>
  </si>
  <si>
    <t xml:space="preserve">Gross IRR in sane band (0%–60%)</t>
  </si>
  <si>
    <t xml:space="preserve">Senior debt fully repaid by exit?</t>
  </si>
  <si>
    <t xml:space="preserve">C.  ERROR SCAN</t>
  </si>
  <si>
    <t xml:space="preserve">#errors in Assumptions</t>
  </si>
  <si>
    <t xml:space="preserve">#errors in Operating</t>
  </si>
  <si>
    <t xml:space="preserve">#errors in Debt</t>
  </si>
  <si>
    <t xml:space="preserve">#errors in IS</t>
  </si>
  <si>
    <t xml:space="preserve">#errors in CF</t>
  </si>
  <si>
    <t xml:space="preserve">#errors in BS</t>
  </si>
  <si>
    <t xml:space="preserve">#errors in Returns</t>
  </si>
  <si>
    <t xml:space="preserve">D.  SUMMARY VERDICT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</si>
</sst>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;\(#,##0\);\-"/>
    <numFmt numFmtId="166" formatCode="0.0%;\(0.0%\);\-"/>
    <numFmt numFmtId="167" formatCode="0.0\x"/>
    <numFmt numFmtId="168" formatCode="0"/>
    <numFmt numFmtId="169" formatCode="0.00\x"/>
    <numFmt numFmtId="170" formatCode="0.0%"/>
    <numFmt numFmtId="171" formatCode="General"/>
  </numFmts>
  <fonts count="1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1F4E79"/>
      <name val="Arial"/>
      <family val="0"/>
      <charset val="1"/>
    </font>
    <font>
      <i val="true"/>
      <sz val="9"/>
      <color rgb="FF000000"/>
      <name val="Arial"/>
      <family val="0"/>
      <charset val="1"/>
    </font>
    <font>
      <i val="true"/>
      <sz val="8"/>
      <color rgb="FF808080"/>
      <name val="Arial"/>
      <family val="0"/>
      <charset val="1"/>
    </font>
    <font>
      <sz val="10"/>
      <color rgb="FF0000FF"/>
      <name val="Arial"/>
      <family val="0"/>
      <charset val="1"/>
    </font>
    <font>
      <i val="true"/>
      <sz val="8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8"/>
      <color rgb="FF80808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2"/>
      <color rgb="FF0061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2A44"/>
        <bgColor rgb="FF003366"/>
      </patternFill>
    </fill>
    <fill>
      <patternFill patternType="solid">
        <fgColor rgb="FFE2EFDA"/>
        <bgColor rgb="FFC6EFCE"/>
      </patternFill>
    </fill>
    <fill>
      <patternFill patternType="solid">
        <fgColor rgb="FFC6EFCE"/>
        <bgColor rgb="FFE2EFDA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1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6" fillId="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6" fillId="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71" fontId="1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8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2EF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C9A84C"/>
      <rgbColor rgb="FF003366"/>
      <rgbColor rgb="FF2E7D32"/>
      <rgbColor rgb="FF006100"/>
      <rgbColor rgb="FF333300"/>
      <rgbColor rgb="FF993300"/>
      <rgbColor rgb="FF993366"/>
      <rgbColor rgb="FF1F4E79"/>
      <rgbColor rgb="FF1F2A4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2A44"/>
    <pageSetUpPr fitToPage="false"/>
  </sheetPr>
  <dimension ref="B2:I3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0"/>
    <col collapsed="false" customWidth="true" hidden="false" outlineLevel="0" max="9" min="3" style="1" width="16"/>
  </cols>
  <sheetData>
    <row r="2" customFormat="false" ht="24" hidden="false" customHeight="true" outlineLevel="0" collapsed="false">
      <c r="B2" s="2" t="s">
        <v>0</v>
      </c>
      <c r="C2" s="2"/>
      <c r="D2" s="2"/>
      <c r="E2" s="2"/>
      <c r="F2" s="2"/>
      <c r="G2" s="2"/>
      <c r="H2" s="2"/>
      <c r="I2" s="2"/>
    </row>
    <row r="3" customFormat="false" ht="15.75" hidden="false" customHeight="true" outlineLevel="0" collapsed="false">
      <c r="B3" s="3" t="s">
        <v>1</v>
      </c>
      <c r="C3" s="3"/>
      <c r="D3" s="3"/>
      <c r="E3" s="3"/>
      <c r="F3" s="3"/>
      <c r="G3" s="3"/>
      <c r="H3" s="3"/>
      <c r="I3" s="3"/>
    </row>
    <row r="6" customFormat="false" ht="15" hidden="false" customHeight="true" outlineLevel="0" collapsed="false">
      <c r="B6" s="4" t="s">
        <v>2</v>
      </c>
      <c r="C6" s="5" t="s">
        <v>3</v>
      </c>
      <c r="D6" s="5"/>
      <c r="E6" s="5"/>
      <c r="F6" s="5"/>
      <c r="G6" s="5"/>
      <c r="H6" s="5"/>
      <c r="I6" s="5"/>
    </row>
    <row r="7" customFormat="false" ht="15" hidden="false" customHeight="true" outlineLevel="0" collapsed="false">
      <c r="B7" s="4" t="s">
        <v>4</v>
      </c>
      <c r="C7" s="5" t="s">
        <v>5</v>
      </c>
      <c r="D7" s="5"/>
      <c r="E7" s="5"/>
      <c r="F7" s="5"/>
      <c r="G7" s="5"/>
      <c r="H7" s="5"/>
      <c r="I7" s="5"/>
    </row>
    <row r="8" customFormat="false" ht="15" hidden="false" customHeight="true" outlineLevel="0" collapsed="false">
      <c r="B8" s="4" t="s">
        <v>6</v>
      </c>
      <c r="C8" s="5" t="s">
        <v>7</v>
      </c>
      <c r="D8" s="5"/>
      <c r="E8" s="5"/>
      <c r="F8" s="5"/>
      <c r="G8" s="5"/>
      <c r="H8" s="5"/>
      <c r="I8" s="5"/>
    </row>
    <row r="9" customFormat="false" ht="15" hidden="false" customHeight="true" outlineLevel="0" collapsed="false">
      <c r="B9" s="4" t="s">
        <v>8</v>
      </c>
      <c r="C9" s="5" t="s">
        <v>9</v>
      </c>
      <c r="D9" s="5"/>
      <c r="E9" s="5"/>
      <c r="F9" s="5"/>
      <c r="G9" s="5"/>
      <c r="H9" s="5"/>
      <c r="I9" s="5"/>
    </row>
    <row r="10" customFormat="false" ht="15" hidden="false" customHeight="true" outlineLevel="0" collapsed="false">
      <c r="B10" s="4" t="s">
        <v>10</v>
      </c>
      <c r="C10" s="5" t="s">
        <v>11</v>
      </c>
      <c r="D10" s="5"/>
      <c r="E10" s="5"/>
      <c r="F10" s="5"/>
      <c r="G10" s="5"/>
      <c r="H10" s="5"/>
      <c r="I10" s="5"/>
    </row>
    <row r="11" customFormat="false" ht="15" hidden="false" customHeight="true" outlineLevel="0" collapsed="false">
      <c r="B11" s="4" t="s">
        <v>12</v>
      </c>
      <c r="C11" s="5" t="s">
        <v>13</v>
      </c>
      <c r="D11" s="5"/>
      <c r="E11" s="5"/>
      <c r="F11" s="5"/>
      <c r="G11" s="5"/>
      <c r="H11" s="5"/>
      <c r="I11" s="5"/>
    </row>
    <row r="12" customFormat="false" ht="15" hidden="false" customHeight="true" outlineLevel="0" collapsed="false">
      <c r="B12" s="4" t="s">
        <v>14</v>
      </c>
      <c r="C12" s="5" t="s">
        <v>15</v>
      </c>
      <c r="D12" s="5"/>
      <c r="E12" s="5"/>
      <c r="F12" s="5"/>
      <c r="G12" s="5"/>
      <c r="H12" s="5"/>
      <c r="I12" s="5"/>
    </row>
    <row r="13" customFormat="false" ht="15" hidden="false" customHeight="true" outlineLevel="0" collapsed="false">
      <c r="B13" s="4" t="s">
        <v>16</v>
      </c>
      <c r="C13" s="5" t="s">
        <v>17</v>
      </c>
      <c r="D13" s="5"/>
      <c r="E13" s="5"/>
      <c r="F13" s="5"/>
      <c r="G13" s="5"/>
      <c r="H13" s="5"/>
      <c r="I13" s="5"/>
    </row>
    <row r="15" customFormat="false" ht="15" hidden="false" customHeight="true" outlineLevel="0" collapsed="false">
      <c r="B15" s="6" t="s">
        <v>18</v>
      </c>
      <c r="C15" s="6"/>
      <c r="D15" s="6"/>
      <c r="E15" s="6"/>
      <c r="F15" s="6"/>
      <c r="G15" s="6"/>
      <c r="H15" s="6"/>
      <c r="I15" s="6"/>
    </row>
    <row r="16" customFormat="false" ht="15" hidden="false" customHeight="true" outlineLevel="0" collapsed="false">
      <c r="B16" s="7" t="s">
        <v>19</v>
      </c>
      <c r="C16" s="8" t="s">
        <v>20</v>
      </c>
      <c r="D16" s="8"/>
      <c r="E16" s="8"/>
      <c r="F16" s="8"/>
      <c r="G16" s="8"/>
      <c r="H16" s="8"/>
      <c r="I16" s="8"/>
    </row>
    <row r="17" customFormat="false" ht="15" hidden="false" customHeight="true" outlineLevel="0" collapsed="false">
      <c r="B17" s="7" t="s">
        <v>21</v>
      </c>
      <c r="C17" s="8" t="s">
        <v>22</v>
      </c>
      <c r="D17" s="8"/>
      <c r="E17" s="8"/>
      <c r="F17" s="8"/>
      <c r="G17" s="8"/>
      <c r="H17" s="8"/>
      <c r="I17" s="8"/>
    </row>
    <row r="18" customFormat="false" ht="15" hidden="false" customHeight="true" outlineLevel="0" collapsed="false">
      <c r="B18" s="7" t="s">
        <v>23</v>
      </c>
      <c r="C18" s="8" t="s">
        <v>24</v>
      </c>
      <c r="D18" s="8"/>
      <c r="E18" s="8"/>
      <c r="F18" s="8"/>
      <c r="G18" s="8"/>
      <c r="H18" s="8"/>
      <c r="I18" s="8"/>
    </row>
    <row r="19" customFormat="false" ht="15" hidden="false" customHeight="true" outlineLevel="0" collapsed="false">
      <c r="B19" s="7" t="s">
        <v>25</v>
      </c>
      <c r="C19" s="8" t="s">
        <v>26</v>
      </c>
      <c r="D19" s="8"/>
      <c r="E19" s="8"/>
      <c r="F19" s="8"/>
      <c r="G19" s="8"/>
      <c r="H19" s="8"/>
      <c r="I19" s="8"/>
    </row>
    <row r="20" customFormat="false" ht="15" hidden="false" customHeight="true" outlineLevel="0" collapsed="false">
      <c r="B20" s="7" t="s">
        <v>27</v>
      </c>
      <c r="C20" s="8" t="s">
        <v>28</v>
      </c>
      <c r="D20" s="8"/>
      <c r="E20" s="8"/>
      <c r="F20" s="8"/>
      <c r="G20" s="8"/>
      <c r="H20" s="8"/>
      <c r="I20" s="8"/>
    </row>
    <row r="21" customFormat="false" ht="15" hidden="false" customHeight="true" outlineLevel="0" collapsed="false">
      <c r="B21" s="7" t="s">
        <v>29</v>
      </c>
      <c r="C21" s="8" t="s">
        <v>30</v>
      </c>
      <c r="D21" s="8"/>
      <c r="E21" s="8"/>
      <c r="F21" s="8"/>
      <c r="G21" s="8"/>
      <c r="H21" s="8"/>
      <c r="I21" s="8"/>
    </row>
    <row r="22" customFormat="false" ht="15" hidden="false" customHeight="true" outlineLevel="0" collapsed="false">
      <c r="B22" s="7" t="s">
        <v>31</v>
      </c>
      <c r="C22" s="8" t="s">
        <v>32</v>
      </c>
      <c r="D22" s="8"/>
      <c r="E22" s="8"/>
      <c r="F22" s="8"/>
      <c r="G22" s="8"/>
      <c r="H22" s="8"/>
      <c r="I22" s="8"/>
    </row>
    <row r="23" customFormat="false" ht="15" hidden="false" customHeight="true" outlineLevel="0" collapsed="false">
      <c r="B23" s="7" t="s">
        <v>33</v>
      </c>
      <c r="C23" s="8" t="s">
        <v>34</v>
      </c>
      <c r="D23" s="8"/>
      <c r="E23" s="8"/>
      <c r="F23" s="8"/>
      <c r="G23" s="8"/>
      <c r="H23" s="8"/>
      <c r="I23" s="8"/>
    </row>
    <row r="24" customFormat="false" ht="15" hidden="false" customHeight="true" outlineLevel="0" collapsed="false">
      <c r="B24" s="7" t="s">
        <v>35</v>
      </c>
      <c r="C24" s="8" t="s">
        <v>36</v>
      </c>
      <c r="D24" s="8"/>
      <c r="E24" s="8"/>
      <c r="F24" s="8"/>
      <c r="G24" s="8"/>
      <c r="H24" s="8"/>
      <c r="I24" s="8"/>
    </row>
    <row r="26" customFormat="false" ht="15" hidden="false" customHeight="true" outlineLevel="0" collapsed="false">
      <c r="B26" s="9" t="s">
        <v>37</v>
      </c>
      <c r="C26" s="9"/>
      <c r="D26" s="9"/>
      <c r="E26" s="9"/>
      <c r="F26" s="9"/>
      <c r="G26" s="9"/>
      <c r="H26" s="9"/>
      <c r="I26" s="9"/>
    </row>
    <row r="27" customFormat="false" ht="15" hidden="false" customHeight="true" outlineLevel="0" collapsed="false">
      <c r="B27" s="9"/>
      <c r="C27" s="9"/>
      <c r="D27" s="9"/>
      <c r="E27" s="9"/>
      <c r="F27" s="9"/>
      <c r="G27" s="9"/>
      <c r="H27" s="9"/>
      <c r="I27" s="9"/>
    </row>
    <row r="28" customFormat="false" ht="15" hidden="false" customHeight="true" outlineLevel="0" collapsed="false">
      <c r="B28" s="9"/>
      <c r="C28" s="9"/>
      <c r="D28" s="9"/>
      <c r="E28" s="9"/>
      <c r="F28" s="9"/>
      <c r="G28" s="9"/>
      <c r="H28" s="9"/>
      <c r="I28" s="9"/>
    </row>
    <row r="29" customFormat="false" ht="15" hidden="false" customHeight="true" outlineLevel="0" collapsed="false">
      <c r="B29" s="9"/>
      <c r="C29" s="9"/>
      <c r="D29" s="9"/>
      <c r="E29" s="9"/>
      <c r="F29" s="9"/>
      <c r="G29" s="9"/>
      <c r="H29" s="9"/>
      <c r="I29" s="9"/>
    </row>
    <row r="30" customFormat="false" ht="15" hidden="false" customHeight="true" outlineLevel="0" collapsed="false">
      <c r="B30" s="9"/>
      <c r="C30" s="9"/>
      <c r="D30" s="9"/>
      <c r="E30" s="9"/>
      <c r="F30" s="9"/>
      <c r="G30" s="9"/>
      <c r="H30" s="9"/>
      <c r="I30" s="9"/>
    </row>
  </sheetData>
  <mergeCells count="21">
    <mergeCell ref="B2:I2"/>
    <mergeCell ref="B3:I3"/>
    <mergeCell ref="C6:I6"/>
    <mergeCell ref="C7:I7"/>
    <mergeCell ref="C8:I8"/>
    <mergeCell ref="C9:I9"/>
    <mergeCell ref="C10:I10"/>
    <mergeCell ref="C11:I11"/>
    <mergeCell ref="C12:I12"/>
    <mergeCell ref="C13:I13"/>
    <mergeCell ref="B15:I15"/>
    <mergeCell ref="C16:I16"/>
    <mergeCell ref="C17:I17"/>
    <mergeCell ref="C18:I18"/>
    <mergeCell ref="C19:I19"/>
    <mergeCell ref="C20:I20"/>
    <mergeCell ref="C21:I21"/>
    <mergeCell ref="C22:I22"/>
    <mergeCell ref="C23:I23"/>
    <mergeCell ref="C24:I24"/>
    <mergeCell ref="B26:I3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C9A84C"/>
    <pageSetUpPr fitToPage="false"/>
  </sheetPr>
  <dimension ref="B2:I4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40"/>
    <col collapsed="false" customWidth="true" hidden="false" outlineLevel="0" max="8" min="3" style="1" width="14"/>
    <col collapsed="false" customWidth="true" hidden="false" outlineLevel="0" max="9" min="9" style="1" width="34"/>
  </cols>
  <sheetData>
    <row r="2" customFormat="false" ht="24" hidden="false" customHeight="true" outlineLevel="0" collapsed="false">
      <c r="B2" s="2" t="s">
        <v>38</v>
      </c>
      <c r="C2" s="2"/>
      <c r="D2" s="2"/>
      <c r="E2" s="2"/>
      <c r="F2" s="2"/>
      <c r="G2" s="2"/>
      <c r="H2" s="2"/>
      <c r="I2" s="2"/>
    </row>
    <row r="3" customFormat="false" ht="15.75" hidden="false" customHeight="true" outlineLevel="0" collapsed="false">
      <c r="B3" s="3" t="s">
        <v>39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40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C6" s="10" t="s">
        <v>41</v>
      </c>
      <c r="D6" s="10" t="s">
        <v>42</v>
      </c>
      <c r="E6" s="10" t="s">
        <v>43</v>
      </c>
      <c r="F6" s="10" t="s">
        <v>44</v>
      </c>
      <c r="G6" s="10" t="s">
        <v>45</v>
      </c>
      <c r="H6" s="10" t="s">
        <v>46</v>
      </c>
      <c r="I6" s="11" t="s">
        <v>47</v>
      </c>
    </row>
    <row r="7" customFormat="false" ht="15" hidden="false" customHeight="true" outlineLevel="0" collapsed="false">
      <c r="B7" s="12" t="s">
        <v>48</v>
      </c>
      <c r="C7" s="13" t="n">
        <v>276169</v>
      </c>
      <c r="I7" s="14" t="s">
        <v>49</v>
      </c>
    </row>
    <row r="8" customFormat="false" ht="15" hidden="false" customHeight="true" outlineLevel="0" collapsed="false">
      <c r="B8" s="12" t="s">
        <v>50</v>
      </c>
      <c r="D8" s="15" t="n">
        <v>0.015</v>
      </c>
      <c r="E8" s="15" t="n">
        <v>0.025</v>
      </c>
      <c r="F8" s="15" t="n">
        <v>0.03</v>
      </c>
      <c r="G8" s="15" t="n">
        <v>0.03</v>
      </c>
      <c r="H8" s="15" t="n">
        <v>0.03</v>
      </c>
      <c r="I8" s="14" t="s">
        <v>51</v>
      </c>
    </row>
    <row r="9" customFormat="false" ht="15" hidden="false" customHeight="true" outlineLevel="0" collapsed="false">
      <c r="B9" s="12" t="s">
        <v>52</v>
      </c>
      <c r="C9" s="15" t="n">
        <v>0.432</v>
      </c>
      <c r="D9" s="15" t="n">
        <v>0.44</v>
      </c>
      <c r="E9" s="15" t="n">
        <v>0.45</v>
      </c>
      <c r="F9" s="15" t="n">
        <v>0.455</v>
      </c>
      <c r="G9" s="15" t="n">
        <v>0.455</v>
      </c>
      <c r="H9" s="15" t="n">
        <v>0.455</v>
      </c>
      <c r="I9" s="14" t="s">
        <v>53</v>
      </c>
    </row>
    <row r="10" customFormat="false" ht="15" hidden="false" customHeight="true" outlineLevel="0" collapsed="false">
      <c r="B10" s="12" t="s">
        <v>54</v>
      </c>
      <c r="C10" s="15" t="n">
        <v>0.326</v>
      </c>
      <c r="D10" s="15" t="n">
        <v>0.32</v>
      </c>
      <c r="E10" s="15" t="n">
        <v>0.318</v>
      </c>
      <c r="F10" s="15" t="n">
        <v>0.315</v>
      </c>
      <c r="G10" s="15" t="n">
        <v>0.315</v>
      </c>
      <c r="H10" s="15" t="n">
        <v>0.315</v>
      </c>
      <c r="I10" s="14" t="s">
        <v>55</v>
      </c>
    </row>
    <row r="11" customFormat="false" ht="15" hidden="false" customHeight="true" outlineLevel="0" collapsed="false">
      <c r="B11" s="12" t="s">
        <v>56</v>
      </c>
      <c r="C11" s="13" t="n">
        <v>2881</v>
      </c>
      <c r="D11" s="13" t="n">
        <v>3000</v>
      </c>
      <c r="E11" s="13" t="n">
        <v>3100</v>
      </c>
      <c r="F11" s="13" t="n">
        <v>3200</v>
      </c>
      <c r="G11" s="13" t="n">
        <v>3300</v>
      </c>
      <c r="H11" s="13" t="n">
        <v>3400</v>
      </c>
      <c r="I11" s="14" t="s">
        <v>57</v>
      </c>
    </row>
    <row r="12" customFormat="false" ht="15" hidden="false" customHeight="true" outlineLevel="0" collapsed="false">
      <c r="B12" s="12" t="s">
        <v>58</v>
      </c>
      <c r="C12" s="13" t="n">
        <v>1751</v>
      </c>
      <c r="D12" s="13" t="n">
        <v>2500</v>
      </c>
      <c r="E12" s="13" t="n">
        <v>2600</v>
      </c>
      <c r="F12" s="13" t="n">
        <v>2700</v>
      </c>
      <c r="G12" s="13" t="n">
        <v>2800</v>
      </c>
      <c r="H12" s="13" t="n">
        <v>2900</v>
      </c>
      <c r="I12" s="14" t="s">
        <v>59</v>
      </c>
    </row>
    <row r="13" customFormat="false" ht="15" hidden="false" customHeight="true" outlineLevel="0" collapsed="false">
      <c r="B13" s="12" t="s">
        <v>60</v>
      </c>
      <c r="C13" s="15" t="n">
        <v>0.337</v>
      </c>
      <c r="D13" s="15" t="n">
        <v>0.335</v>
      </c>
      <c r="E13" s="15" t="n">
        <v>0.33</v>
      </c>
      <c r="F13" s="15" t="n">
        <v>0.325</v>
      </c>
      <c r="G13" s="15" t="n">
        <v>0.325</v>
      </c>
      <c r="H13" s="15" t="n">
        <v>0.325</v>
      </c>
      <c r="I13" s="14" t="s">
        <v>61</v>
      </c>
    </row>
    <row r="14" customFormat="false" ht="15" hidden="false" customHeight="true" outlineLevel="0" collapsed="false">
      <c r="B14" s="12" t="s">
        <v>62</v>
      </c>
      <c r="C14" s="15" t="n">
        <v>0.26</v>
      </c>
      <c r="I14" s="14" t="s">
        <v>63</v>
      </c>
    </row>
    <row r="16" customFormat="false" ht="15" hidden="false" customHeight="true" outlineLevel="0" collapsed="false">
      <c r="B16" s="6" t="s">
        <v>64</v>
      </c>
      <c r="C16" s="6"/>
      <c r="D16" s="6"/>
      <c r="E16" s="6"/>
      <c r="F16" s="6"/>
      <c r="G16" s="6"/>
      <c r="H16" s="6"/>
    </row>
    <row r="17" customFormat="false" ht="15" hidden="false" customHeight="true" outlineLevel="0" collapsed="false">
      <c r="B17" s="12" t="s">
        <v>65</v>
      </c>
      <c r="C17" s="16" t="n">
        <f aca="false">Operating!C11</f>
        <v>32154.914</v>
      </c>
      <c r="I17" s="14" t="s">
        <v>66</v>
      </c>
    </row>
    <row r="18" customFormat="false" ht="15" hidden="false" customHeight="true" outlineLevel="0" collapsed="false">
      <c r="B18" s="12" t="s">
        <v>67</v>
      </c>
      <c r="C18" s="17" t="n">
        <v>5.5</v>
      </c>
      <c r="I18" s="14" t="s">
        <v>68</v>
      </c>
    </row>
    <row r="19" customFormat="false" ht="15" hidden="false" customHeight="true" outlineLevel="0" collapsed="false">
      <c r="B19" s="12" t="s">
        <v>69</v>
      </c>
      <c r="C19" s="18" t="n">
        <f aca="false">C17*C18</f>
        <v>176852.027</v>
      </c>
    </row>
    <row r="20" customFormat="false" ht="15" hidden="false" customHeight="true" outlineLevel="0" collapsed="false">
      <c r="B20" s="12" t="s">
        <v>70</v>
      </c>
      <c r="C20" s="13" t="n">
        <v>335000</v>
      </c>
      <c r="I20" s="14" t="s">
        <v>71</v>
      </c>
    </row>
    <row r="21" customFormat="false" ht="15" hidden="false" customHeight="true" outlineLevel="0" collapsed="false">
      <c r="B21" s="12" t="s">
        <v>72</v>
      </c>
      <c r="C21" s="19" t="n">
        <f aca="false">C20/C17</f>
        <v>10.4183142893805</v>
      </c>
    </row>
    <row r="23" customFormat="false" ht="15" hidden="false" customHeight="true" outlineLevel="0" collapsed="false">
      <c r="B23" s="6" t="s">
        <v>73</v>
      </c>
      <c r="C23" s="6"/>
      <c r="D23" s="6"/>
      <c r="E23" s="6"/>
      <c r="F23" s="6"/>
      <c r="G23" s="6"/>
      <c r="H23" s="6"/>
    </row>
    <row r="24" customFormat="false" ht="15" hidden="false" customHeight="true" outlineLevel="0" collapsed="false">
      <c r="B24" s="12" t="s">
        <v>74</v>
      </c>
      <c r="C24" s="17" t="n">
        <v>2.75</v>
      </c>
      <c r="I24" s="14" t="s">
        <v>75</v>
      </c>
    </row>
    <row r="25" customFormat="false" ht="15" hidden="false" customHeight="true" outlineLevel="0" collapsed="false">
      <c r="B25" s="12" t="s">
        <v>76</v>
      </c>
      <c r="C25" s="17" t="n">
        <v>1</v>
      </c>
      <c r="I25" s="14" t="s">
        <v>77</v>
      </c>
    </row>
    <row r="26" customFormat="false" ht="15" hidden="false" customHeight="true" outlineLevel="0" collapsed="false">
      <c r="B26" s="12" t="s">
        <v>78</v>
      </c>
      <c r="C26" s="15" t="n">
        <v>0.1</v>
      </c>
      <c r="I26" s="14" t="s">
        <v>79</v>
      </c>
    </row>
    <row r="27" customFormat="false" ht="15" hidden="false" customHeight="true" outlineLevel="0" collapsed="false">
      <c r="B27" s="12" t="s">
        <v>80</v>
      </c>
      <c r="C27" s="15" t="n">
        <v>0.025</v>
      </c>
    </row>
    <row r="28" customFormat="false" ht="15" hidden="false" customHeight="true" outlineLevel="0" collapsed="false">
      <c r="B28" s="12" t="s">
        <v>81</v>
      </c>
      <c r="C28" s="13" t="n">
        <v>5000</v>
      </c>
    </row>
    <row r="29" customFormat="false" ht="15" hidden="false" customHeight="true" outlineLevel="0" collapsed="false">
      <c r="B29" s="12" t="s">
        <v>82</v>
      </c>
      <c r="C29" s="15" t="n">
        <v>0.095</v>
      </c>
      <c r="I29" s="14" t="s">
        <v>83</v>
      </c>
    </row>
    <row r="30" customFormat="false" ht="15" hidden="false" customHeight="true" outlineLevel="0" collapsed="false">
      <c r="B30" s="12" t="s">
        <v>84</v>
      </c>
      <c r="C30" s="15" t="n">
        <v>0.1</v>
      </c>
    </row>
    <row r="31" customFormat="false" ht="15" hidden="false" customHeight="true" outlineLevel="0" collapsed="false">
      <c r="B31" s="12" t="s">
        <v>85</v>
      </c>
      <c r="C31" s="15" t="n">
        <v>0.07</v>
      </c>
    </row>
    <row r="32" customFormat="false" ht="15" hidden="false" customHeight="true" outlineLevel="0" collapsed="false">
      <c r="B32" s="12" t="s">
        <v>86</v>
      </c>
      <c r="C32" s="15" t="n">
        <v>0.75</v>
      </c>
    </row>
    <row r="33" customFormat="false" ht="15" hidden="false" customHeight="true" outlineLevel="0" collapsed="false">
      <c r="B33" s="12" t="s">
        <v>87</v>
      </c>
      <c r="C33" s="17" t="n">
        <v>1.25</v>
      </c>
      <c r="I33" s="14" t="s">
        <v>88</v>
      </c>
    </row>
    <row r="35" customFormat="false" ht="15" hidden="false" customHeight="true" outlineLevel="0" collapsed="false">
      <c r="B35" s="6" t="s">
        <v>89</v>
      </c>
      <c r="C35" s="6"/>
      <c r="D35" s="6"/>
      <c r="E35" s="6"/>
      <c r="F35" s="6"/>
      <c r="G35" s="6"/>
      <c r="H35" s="6"/>
    </row>
    <row r="36" customFormat="false" ht="15" hidden="false" customHeight="true" outlineLevel="0" collapsed="false">
      <c r="B36" s="12" t="s">
        <v>90</v>
      </c>
      <c r="C36" s="20" t="n">
        <v>5</v>
      </c>
    </row>
    <row r="37" customFormat="false" ht="15" hidden="false" customHeight="true" outlineLevel="0" collapsed="false">
      <c r="B37" s="12" t="s">
        <v>91</v>
      </c>
      <c r="C37" s="17" t="n">
        <v>5.5</v>
      </c>
      <c r="I37" s="14" t="s">
        <v>92</v>
      </c>
    </row>
    <row r="38" customFormat="false" ht="15" hidden="false" customHeight="true" outlineLevel="0" collapsed="false">
      <c r="B38" s="12" t="s">
        <v>93</v>
      </c>
      <c r="C38" s="15" t="n">
        <v>0.08</v>
      </c>
      <c r="I38" s="14" t="s">
        <v>94</v>
      </c>
    </row>
    <row r="39" customFormat="false" ht="15" hidden="false" customHeight="true" outlineLevel="0" collapsed="false">
      <c r="B39" s="12" t="s">
        <v>95</v>
      </c>
      <c r="C39" s="15" t="n">
        <v>0.2</v>
      </c>
      <c r="I39" s="14" t="s">
        <v>96</v>
      </c>
    </row>
    <row r="40" customFormat="false" ht="15" hidden="false" customHeight="true" outlineLevel="0" collapsed="false">
      <c r="B40" s="12" t="s">
        <v>97</v>
      </c>
      <c r="C40" s="15" t="n">
        <v>0.25</v>
      </c>
    </row>
    <row r="41" customFormat="false" ht="15" hidden="false" customHeight="true" outlineLevel="0" collapsed="false">
      <c r="B41" s="12" t="s">
        <v>98</v>
      </c>
      <c r="C41" s="15" t="n">
        <v>0.3</v>
      </c>
    </row>
  </sheetData>
  <mergeCells count="6">
    <mergeCell ref="B2:I2"/>
    <mergeCell ref="B3:I3"/>
    <mergeCell ref="B5:H5"/>
    <mergeCell ref="B16:H16"/>
    <mergeCell ref="B23:H23"/>
    <mergeCell ref="B35:H3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6"/>
    <col collapsed="false" customWidth="true" hidden="false" outlineLevel="0" max="8" min="3" style="1" width="13"/>
  </cols>
  <sheetData>
    <row r="2" customFormat="false" ht="19.5" hidden="false" customHeight="true" outlineLevel="0" collapsed="false">
      <c r="B2" s="2" t="s">
        <v>99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100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101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C6" s="10" t="s">
        <v>41</v>
      </c>
      <c r="D6" s="10" t="s">
        <v>42</v>
      </c>
      <c r="E6" s="10" t="s">
        <v>43</v>
      </c>
      <c r="F6" s="10" t="s">
        <v>44</v>
      </c>
      <c r="G6" s="10" t="s">
        <v>45</v>
      </c>
      <c r="H6" s="10" t="s">
        <v>46</v>
      </c>
    </row>
    <row r="7" customFormat="false" ht="15" hidden="false" customHeight="true" outlineLevel="0" collapsed="false">
      <c r="B7" s="12" t="s">
        <v>102</v>
      </c>
      <c r="C7" s="16" t="n">
        <f aca="false">Assumptions!C7</f>
        <v>276169</v>
      </c>
      <c r="D7" s="18" t="n">
        <f aca="false">C7*(1+Assumptions!D8)</f>
        <v>280311.535</v>
      </c>
      <c r="E7" s="18" t="n">
        <f aca="false">D7*(1+Assumptions!E8)</f>
        <v>287319.323375</v>
      </c>
      <c r="F7" s="18" t="n">
        <f aca="false">E7*(1+Assumptions!F8)</f>
        <v>295938.90307625</v>
      </c>
      <c r="G7" s="18" t="n">
        <f aca="false">F7*(1+Assumptions!G8)</f>
        <v>304817.070168537</v>
      </c>
      <c r="H7" s="18" t="n">
        <f aca="false">G7*(1+Assumptions!H8)</f>
        <v>313961.582273594</v>
      </c>
    </row>
    <row r="8" customFormat="false" ht="15" hidden="false" customHeight="true" outlineLevel="0" collapsed="false">
      <c r="B8" s="12" t="s">
        <v>103</v>
      </c>
      <c r="C8" s="18" t="n">
        <f aca="false">-C7*(1-Assumptions!C9)</f>
        <v>-156863.992</v>
      </c>
      <c r="D8" s="18" t="n">
        <f aca="false">-D7*(1-Assumptions!D9)</f>
        <v>-156974.4596</v>
      </c>
      <c r="E8" s="18" t="n">
        <f aca="false">-E7*(1-Assumptions!E9)</f>
        <v>-158025.62785625</v>
      </c>
      <c r="F8" s="18" t="n">
        <f aca="false">-F7*(1-Assumptions!F9)</f>
        <v>-161286.702176556</v>
      </c>
      <c r="G8" s="18" t="n">
        <f aca="false">-G7*(1-Assumptions!G9)</f>
        <v>-166125.303241853</v>
      </c>
      <c r="H8" s="18" t="n">
        <f aca="false">-H7*(1-Assumptions!H9)</f>
        <v>-171109.062339108</v>
      </c>
    </row>
    <row r="9" customFormat="false" ht="15" hidden="false" customHeight="true" outlineLevel="0" collapsed="false">
      <c r="B9" s="21" t="s">
        <v>104</v>
      </c>
      <c r="C9" s="22" t="n">
        <f aca="false">C7+C8</f>
        <v>119305.008</v>
      </c>
      <c r="D9" s="22" t="n">
        <f aca="false">D7+D8</f>
        <v>123337.0754</v>
      </c>
      <c r="E9" s="22" t="n">
        <f aca="false">E7+E8</f>
        <v>129293.69551875</v>
      </c>
      <c r="F9" s="22" t="n">
        <f aca="false">F7+F8</f>
        <v>134652.200899694</v>
      </c>
      <c r="G9" s="22" t="n">
        <f aca="false">G7+G8</f>
        <v>138691.766926685</v>
      </c>
      <c r="H9" s="22" t="n">
        <f aca="false">H7+H8</f>
        <v>142852.519934485</v>
      </c>
    </row>
    <row r="10" customFormat="false" ht="15" hidden="false" customHeight="true" outlineLevel="0" collapsed="false">
      <c r="B10" s="12" t="s">
        <v>105</v>
      </c>
      <c r="C10" s="18" t="n">
        <f aca="false">-C7*Assumptions!C10+Assumptions!C11</f>
        <v>-87150.094</v>
      </c>
      <c r="D10" s="18" t="n">
        <f aca="false">-D7*Assumptions!D10+Assumptions!D11</f>
        <v>-86699.6912</v>
      </c>
      <c r="E10" s="18" t="n">
        <f aca="false">-E7*Assumptions!E10+Assumptions!E11</f>
        <v>-88267.54483325</v>
      </c>
      <c r="F10" s="18" t="n">
        <f aca="false">-F7*Assumptions!F10+Assumptions!F11</f>
        <v>-90020.7544690187</v>
      </c>
      <c r="G10" s="18" t="n">
        <f aca="false">-G7*Assumptions!G10+Assumptions!G11</f>
        <v>-92717.3771030893</v>
      </c>
      <c r="H10" s="18" t="n">
        <f aca="false">-H7*Assumptions!H10+Assumptions!H11</f>
        <v>-95497.898416182</v>
      </c>
    </row>
    <row r="11" customFormat="false" ht="15" hidden="false" customHeight="true" outlineLevel="0" collapsed="false">
      <c r="B11" s="21" t="s">
        <v>106</v>
      </c>
      <c r="C11" s="22" t="n">
        <f aca="false">C9+C10</f>
        <v>32154.914</v>
      </c>
      <c r="D11" s="22" t="n">
        <f aca="false">D9+D10</f>
        <v>36637.3842</v>
      </c>
      <c r="E11" s="22" t="n">
        <f aca="false">E9+E10</f>
        <v>41026.1506855</v>
      </c>
      <c r="F11" s="22" t="n">
        <f aca="false">F9+F10</f>
        <v>44631.446430675</v>
      </c>
      <c r="G11" s="22" t="n">
        <f aca="false">G9+G10</f>
        <v>45974.3898235953</v>
      </c>
      <c r="H11" s="22" t="n">
        <f aca="false">H9+H10</f>
        <v>47354.6215183031</v>
      </c>
    </row>
    <row r="12" customFormat="false" ht="15" hidden="false" customHeight="true" outlineLevel="0" collapsed="false">
      <c r="B12" s="12" t="s">
        <v>107</v>
      </c>
      <c r="C12" s="23" t="n">
        <f aca="false">C11/C7</f>
        <v>0.116432018075888</v>
      </c>
      <c r="D12" s="23" t="n">
        <f aca="false">D11/D7</f>
        <v>0.130702377980985</v>
      </c>
      <c r="E12" s="23" t="n">
        <f aca="false">E11/E7</f>
        <v>0.142789389184082</v>
      </c>
      <c r="F12" s="23" t="n">
        <f aca="false">F11/F7</f>
        <v>0.150813042715021</v>
      </c>
      <c r="G12" s="23" t="n">
        <f aca="false">G11/G7</f>
        <v>0.150826165339675</v>
      </c>
      <c r="H12" s="23" t="n">
        <f aca="false">H11/H7</f>
        <v>0.150829350442747</v>
      </c>
    </row>
    <row r="13" customFormat="false" ht="15" hidden="false" customHeight="true" outlineLevel="0" collapsed="false">
      <c r="B13" s="12" t="s">
        <v>108</v>
      </c>
      <c r="C13" s="18" t="n">
        <f aca="false">-Assumptions!C11</f>
        <v>-2881</v>
      </c>
      <c r="D13" s="18" t="n">
        <f aca="false">-Assumptions!D11</f>
        <v>-3000</v>
      </c>
      <c r="E13" s="18" t="n">
        <f aca="false">-Assumptions!E11</f>
        <v>-3100</v>
      </c>
      <c r="F13" s="18" t="n">
        <f aca="false">-Assumptions!F11</f>
        <v>-3200</v>
      </c>
      <c r="G13" s="18" t="n">
        <f aca="false">-Assumptions!G11</f>
        <v>-3300</v>
      </c>
      <c r="H13" s="18" t="n">
        <f aca="false">-Assumptions!H11</f>
        <v>-3400</v>
      </c>
    </row>
    <row r="14" customFormat="false" ht="15" hidden="false" customHeight="true" outlineLevel="0" collapsed="false">
      <c r="B14" s="21" t="s">
        <v>109</v>
      </c>
      <c r="C14" s="22" t="n">
        <f aca="false">C11+C13</f>
        <v>29273.914</v>
      </c>
      <c r="D14" s="22" t="n">
        <f aca="false">D11+D13</f>
        <v>33637.3842</v>
      </c>
      <c r="E14" s="22" t="n">
        <f aca="false">E11+E13</f>
        <v>37926.1506855</v>
      </c>
      <c r="F14" s="22" t="n">
        <f aca="false">F11+F13</f>
        <v>41431.446430675</v>
      </c>
      <c r="G14" s="22" t="n">
        <f aca="false">G11+G13</f>
        <v>42674.3898235953</v>
      </c>
      <c r="H14" s="22" t="n">
        <f aca="false">H11+H13</f>
        <v>43954.6215183031</v>
      </c>
    </row>
    <row r="16" customFormat="false" ht="15" hidden="false" customHeight="true" outlineLevel="0" collapsed="false">
      <c r="B16" s="6" t="s">
        <v>110</v>
      </c>
      <c r="C16" s="6"/>
      <c r="D16" s="6"/>
      <c r="E16" s="6"/>
      <c r="F16" s="6"/>
      <c r="G16" s="6"/>
      <c r="H16" s="6"/>
    </row>
    <row r="17" customFormat="false" ht="15" hidden="false" customHeight="true" outlineLevel="0" collapsed="false">
      <c r="C17" s="10" t="s">
        <v>41</v>
      </c>
      <c r="D17" s="10" t="s">
        <v>42</v>
      </c>
      <c r="E17" s="10" t="s">
        <v>43</v>
      </c>
      <c r="F17" s="10" t="s">
        <v>44</v>
      </c>
      <c r="G17" s="10" t="s">
        <v>45</v>
      </c>
      <c r="H17" s="10" t="s">
        <v>46</v>
      </c>
    </row>
    <row r="18" customFormat="false" ht="15" hidden="false" customHeight="true" outlineLevel="0" collapsed="false">
      <c r="B18" s="12" t="s">
        <v>111</v>
      </c>
      <c r="C18" s="18" t="n">
        <f aca="false">C7*Assumptions!C13</f>
        <v>93068.953</v>
      </c>
      <c r="D18" s="18" t="n">
        <f aca="false">D7*Assumptions!D13</f>
        <v>93904.364225</v>
      </c>
      <c r="E18" s="18" t="n">
        <f aca="false">E7*Assumptions!E13</f>
        <v>94815.37671375</v>
      </c>
      <c r="F18" s="18" t="n">
        <f aca="false">F7*Assumptions!F13</f>
        <v>96180.1434997812</v>
      </c>
      <c r="G18" s="18" t="n">
        <f aca="false">G7*Assumptions!G13</f>
        <v>99065.5478047747</v>
      </c>
      <c r="H18" s="18" t="n">
        <f aca="false">H7*Assumptions!H13</f>
        <v>102037.514238918</v>
      </c>
    </row>
    <row r="19" customFormat="false" ht="15" hidden="false" customHeight="true" outlineLevel="0" collapsed="false">
      <c r="B19" s="12" t="s">
        <v>112</v>
      </c>
      <c r="C19" s="18" t="n">
        <v>0</v>
      </c>
      <c r="D19" s="18" t="n">
        <f aca="false">-(D18-C18)</f>
        <v>-835.411224999989</v>
      </c>
      <c r="E19" s="18" t="n">
        <f aca="false">-(E18-D18)</f>
        <v>-911.012488749984</v>
      </c>
      <c r="F19" s="18" t="n">
        <f aca="false">-(F18-E18)</f>
        <v>-1364.76678603125</v>
      </c>
      <c r="G19" s="18" t="n">
        <f aca="false">-(G18-F18)</f>
        <v>-2885.40430499344</v>
      </c>
      <c r="H19" s="18" t="n">
        <f aca="false">-(H18-G18)</f>
        <v>-2971.96643414325</v>
      </c>
    </row>
    <row r="20" customFormat="false" ht="15" hidden="false" customHeight="true" outlineLevel="0" collapsed="false">
      <c r="B20" s="12" t="s">
        <v>113</v>
      </c>
      <c r="C20" s="18" t="n">
        <f aca="false">-Assumptions!C12</f>
        <v>-1751</v>
      </c>
      <c r="D20" s="18" t="n">
        <f aca="false">-Assumptions!D12</f>
        <v>-2500</v>
      </c>
      <c r="E20" s="18" t="n">
        <f aca="false">-Assumptions!E12</f>
        <v>-2600</v>
      </c>
      <c r="F20" s="18" t="n">
        <f aca="false">-Assumptions!F12</f>
        <v>-2700</v>
      </c>
      <c r="G20" s="18" t="n">
        <f aca="false">-Assumptions!G12</f>
        <v>-2800</v>
      </c>
      <c r="H20" s="18" t="n">
        <f aca="false">-Assumptions!H12</f>
        <v>-2900</v>
      </c>
    </row>
    <row r="21" customFormat="false" ht="15" hidden="false" customHeight="true" outlineLevel="0" collapsed="false">
      <c r="B21" s="21" t="s">
        <v>114</v>
      </c>
      <c r="C21" s="22" t="n">
        <f aca="false">C11+C19+C20</f>
        <v>30403.914</v>
      </c>
      <c r="D21" s="22" t="n">
        <f aca="false">D11+D19+D20</f>
        <v>33301.972975</v>
      </c>
      <c r="E21" s="22" t="n">
        <f aca="false">E11+E19+E20</f>
        <v>37515.13819675</v>
      </c>
      <c r="F21" s="22" t="n">
        <f aca="false">F11+F19+F20</f>
        <v>40566.6796446438</v>
      </c>
      <c r="G21" s="22" t="n">
        <f aca="false">G11+G19+G20</f>
        <v>40288.9855186018</v>
      </c>
      <c r="H21" s="22" t="n">
        <f aca="false">H11+H19+H20</f>
        <v>41482.6550841599</v>
      </c>
    </row>
  </sheetData>
  <mergeCells count="4">
    <mergeCell ref="B2:I2"/>
    <mergeCell ref="B3:I3"/>
    <mergeCell ref="B5:H5"/>
    <mergeCell ref="B16:H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4"/>
    <col collapsed="false" customWidth="true" hidden="false" outlineLevel="0" max="3" min="3" style="1" width="15"/>
    <col collapsed="false" customWidth="true" hidden="false" outlineLevel="0" max="4" min="4" style="1" width="12"/>
    <col collapsed="false" customWidth="true" hidden="false" outlineLevel="0" max="5" min="5" style="1" width="4"/>
    <col collapsed="false" customWidth="true" hidden="false" outlineLevel="0" max="6" min="6" style="1" width="34"/>
    <col collapsed="false" customWidth="true" hidden="false" outlineLevel="0" max="7" min="7" style="1" width="15"/>
    <col collapsed="false" customWidth="true" hidden="false" outlineLevel="0" max="8" min="8" style="1" width="12"/>
  </cols>
  <sheetData>
    <row r="2" customFormat="false" ht="19.5" hidden="false" customHeight="true" outlineLevel="0" collapsed="false">
      <c r="B2" s="2" t="s">
        <v>115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116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117</v>
      </c>
      <c r="C5" s="6"/>
      <c r="D5" s="6"/>
      <c r="F5" s="6" t="s">
        <v>118</v>
      </c>
      <c r="G5" s="6"/>
      <c r="H5" s="6"/>
    </row>
    <row r="6" customFormat="false" ht="15" hidden="false" customHeight="true" outlineLevel="0" collapsed="false">
      <c r="B6" s="12" t="s">
        <v>119</v>
      </c>
      <c r="C6" s="18" t="n">
        <f aca="false">Assumptions!C17*Assumptions!C24</f>
        <v>88426.0134999999</v>
      </c>
      <c r="D6" s="23" t="n">
        <f aca="false">C6/C11</f>
        <v>0.474711085068932</v>
      </c>
      <c r="F6" s="12" t="s">
        <v>120</v>
      </c>
      <c r="G6" s="18" t="n">
        <f aca="false">Assumptions!C19</f>
        <v>176852.027</v>
      </c>
      <c r="H6" s="23" t="n">
        <f aca="false">G6/G11</f>
        <v>0.949422170137864</v>
      </c>
    </row>
    <row r="7" customFormat="false" ht="15" hidden="false" customHeight="true" outlineLevel="0" collapsed="false">
      <c r="B7" s="12" t="s">
        <v>121</v>
      </c>
      <c r="C7" s="18" t="n">
        <f aca="false">Assumptions!C17*Assumptions!C25</f>
        <v>32154.914</v>
      </c>
      <c r="D7" s="23" t="n">
        <f aca="false">C7/C11</f>
        <v>0.172622212752339</v>
      </c>
      <c r="F7" s="12" t="s">
        <v>122</v>
      </c>
      <c r="G7" s="18" t="n">
        <f aca="false">Assumptions!C28</f>
        <v>5000</v>
      </c>
      <c r="H7" s="23" t="n">
        <f aca="false">G7/G11</f>
        <v>0.0268422756086891</v>
      </c>
    </row>
    <row r="8" customFormat="false" ht="15" hidden="false" customHeight="true" outlineLevel="0" collapsed="false">
      <c r="B8" s="12" t="s">
        <v>123</v>
      </c>
      <c r="C8" s="18" t="n">
        <f aca="false">Assumptions!C26*C10</f>
        <v>6569.2400175</v>
      </c>
      <c r="D8" s="24" t="n">
        <f aca="false">C8/C11</f>
        <v>0.0352666702178729</v>
      </c>
      <c r="F8" s="12" t="s">
        <v>124</v>
      </c>
      <c r="G8" s="18" t="n">
        <f aca="false">Assumptions!C19*Assumptions!C27</f>
        <v>4421.300675</v>
      </c>
      <c r="H8" s="23" t="n">
        <f aca="false">G8/G11</f>
        <v>0.0237355542534466</v>
      </c>
    </row>
    <row r="9" customFormat="false" ht="15" hidden="false" customHeight="true" outlineLevel="0" collapsed="false">
      <c r="B9" s="12" t="s">
        <v>125</v>
      </c>
      <c r="C9" s="18" t="n">
        <f aca="false">C10-C8</f>
        <v>59123.1601575</v>
      </c>
      <c r="D9" s="24" t="n">
        <f aca="false">C9/C11</f>
        <v>0.317400031960856</v>
      </c>
      <c r="F9" s="12"/>
    </row>
    <row r="10" customFormat="false" ht="15" hidden="false" customHeight="true" outlineLevel="0" collapsed="false">
      <c r="B10" s="12" t="s">
        <v>126</v>
      </c>
      <c r="C10" s="22" t="n">
        <f aca="false">(Assumptions!C19+Assumptions!C28+Assumptions!C19*Assumptions!C27)-C6-C7</f>
        <v>65692.400175</v>
      </c>
    </row>
    <row r="11" customFormat="false" ht="15" hidden="false" customHeight="true" outlineLevel="0" collapsed="false">
      <c r="B11" s="21" t="s">
        <v>127</v>
      </c>
      <c r="C11" s="22" t="n">
        <f aca="false">C6+C7+C8+C9</f>
        <v>186273.327675</v>
      </c>
      <c r="D11" s="25" t="n">
        <f aca="false">C11/C11</f>
        <v>1</v>
      </c>
      <c r="F11" s="21" t="s">
        <v>128</v>
      </c>
      <c r="G11" s="22" t="n">
        <f aca="false">G6+G7+G8</f>
        <v>186273.327675</v>
      </c>
      <c r="H11" s="25" t="n">
        <f aca="false">G11/G11</f>
        <v>1</v>
      </c>
    </row>
    <row r="12" customFormat="false" ht="15" hidden="false" customHeight="true" outlineLevel="0" collapsed="false">
      <c r="B12" s="21" t="s">
        <v>129</v>
      </c>
      <c r="C12" s="26" t="n">
        <f aca="false">C11-G11</f>
        <v>0</v>
      </c>
    </row>
  </sheetData>
  <mergeCells count="4">
    <mergeCell ref="B2:I2"/>
    <mergeCell ref="B3:I3"/>
    <mergeCell ref="B5:D5"/>
    <mergeCell ref="F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6"/>
    <col collapsed="false" customWidth="true" hidden="false" outlineLevel="0" max="7" min="3" style="1" width="13"/>
  </cols>
  <sheetData>
    <row r="2" customFormat="false" ht="19.5" hidden="false" customHeight="true" outlineLevel="0" collapsed="false">
      <c r="B2" s="2" t="s">
        <v>130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131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132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C6" s="10" t="s">
        <v>42</v>
      </c>
      <c r="D6" s="10" t="s">
        <v>43</v>
      </c>
      <c r="E6" s="10" t="s">
        <v>44</v>
      </c>
      <c r="F6" s="10" t="s">
        <v>45</v>
      </c>
      <c r="G6" s="10" t="s">
        <v>46</v>
      </c>
    </row>
    <row r="7" customFormat="false" ht="15" hidden="false" customHeight="true" outlineLevel="0" collapsed="false">
      <c r="B7" s="12" t="s">
        <v>106</v>
      </c>
      <c r="C7" s="16" t="n">
        <f aca="false">Operating!D11</f>
        <v>36637.3842</v>
      </c>
      <c r="D7" s="16" t="n">
        <f aca="false">Operating!E11</f>
        <v>41026.1506855</v>
      </c>
      <c r="E7" s="16" t="n">
        <f aca="false">Operating!F11</f>
        <v>44631.446430675</v>
      </c>
      <c r="F7" s="16" t="n">
        <f aca="false">Operating!G11</f>
        <v>45974.3898235953</v>
      </c>
      <c r="G7" s="16" t="n">
        <f aca="false">Operating!H11</f>
        <v>47354.6215183031</v>
      </c>
    </row>
    <row r="8" customFormat="false" ht="15" hidden="false" customHeight="true" outlineLevel="0" collapsed="false">
      <c r="B8" s="12" t="s">
        <v>133</v>
      </c>
      <c r="C8" s="16" t="n">
        <f aca="false">Operating!D19</f>
        <v>-835.411224999989</v>
      </c>
      <c r="D8" s="16" t="n">
        <f aca="false">Operating!E19</f>
        <v>-911.012488749984</v>
      </c>
      <c r="E8" s="16" t="n">
        <f aca="false">Operating!F19</f>
        <v>-1364.76678603125</v>
      </c>
      <c r="F8" s="16" t="n">
        <f aca="false">Operating!G19</f>
        <v>-2885.40430499344</v>
      </c>
      <c r="G8" s="16" t="n">
        <f aca="false">Operating!H19</f>
        <v>-2971.96643414325</v>
      </c>
    </row>
    <row r="9" customFormat="false" ht="15" hidden="false" customHeight="true" outlineLevel="0" collapsed="false">
      <c r="B9" s="12" t="s">
        <v>113</v>
      </c>
      <c r="C9" s="16" t="n">
        <f aca="false">Operating!D20</f>
        <v>-2500</v>
      </c>
      <c r="D9" s="16" t="n">
        <f aca="false">Operating!E20</f>
        <v>-2600</v>
      </c>
      <c r="E9" s="16" t="n">
        <f aca="false">Operating!F20</f>
        <v>-2700</v>
      </c>
      <c r="F9" s="16" t="n">
        <f aca="false">Operating!G20</f>
        <v>-2800</v>
      </c>
      <c r="G9" s="16" t="n">
        <f aca="false">Operating!H20</f>
        <v>-2900</v>
      </c>
    </row>
    <row r="10" customFormat="false" ht="15" hidden="false" customHeight="true" outlineLevel="0" collapsed="false">
      <c r="B10" s="12" t="s">
        <v>134</v>
      </c>
      <c r="C10" s="18" t="n">
        <f aca="false">-MAX(0,(Operating!D14-C29))*Assumptions!$C$14</f>
        <v>-5976.37792375</v>
      </c>
      <c r="D10" s="18" t="n">
        <f aca="false">-MAX(0,(Operating!E14-D29))*Assumptions!$C$14</f>
        <v>-7454.95130640284</v>
      </c>
      <c r="E10" s="18" t="n">
        <f aca="false">-MAX(0,(Operating!F14-E29))*Assumptions!$C$14</f>
        <v>-8806.37956476059</v>
      </c>
      <c r="F10" s="18" t="n">
        <f aca="false">-MAX(0,(Operating!G14-F29))*Assumptions!$C$14</f>
        <v>-9632.44446809689</v>
      </c>
      <c r="G10" s="18" t="n">
        <f aca="false">-MAX(0,(Operating!H14-G29))*Assumptions!$C$14</f>
        <v>-10483.5887918876</v>
      </c>
    </row>
    <row r="11" customFormat="false" ht="15" hidden="false" customHeight="true" outlineLevel="0" collapsed="false">
      <c r="B11" s="21" t="s">
        <v>135</v>
      </c>
      <c r="C11" s="22" t="n">
        <f aca="false">C7+C8+C9+C10</f>
        <v>27325.59505125</v>
      </c>
      <c r="D11" s="22" t="n">
        <f aca="false">D7+D8+D9+D10</f>
        <v>30060.1868903471</v>
      </c>
      <c r="E11" s="22" t="n">
        <f aca="false">E7+E8+E9+E10</f>
        <v>31760.3000798832</v>
      </c>
      <c r="F11" s="22" t="n">
        <f aca="false">F7+F8+F9+F10</f>
        <v>30656.5410505049</v>
      </c>
      <c r="G11" s="22" t="n">
        <f aca="false">G7+G8+G9+G10</f>
        <v>30999.0662922723</v>
      </c>
    </row>
    <row r="13" customFormat="false" ht="15" hidden="false" customHeight="true" outlineLevel="0" collapsed="false">
      <c r="B13" s="6" t="s">
        <v>136</v>
      </c>
      <c r="C13" s="6"/>
      <c r="D13" s="6"/>
      <c r="E13" s="6"/>
      <c r="F13" s="6"/>
      <c r="G13" s="6"/>
      <c r="H13" s="6"/>
    </row>
    <row r="14" customFormat="false" ht="15" hidden="false" customHeight="true" outlineLevel="0" collapsed="false">
      <c r="C14" s="10" t="s">
        <v>42</v>
      </c>
      <c r="D14" s="10" t="s">
        <v>43</v>
      </c>
      <c r="E14" s="10" t="s">
        <v>44</v>
      </c>
      <c r="F14" s="10" t="s">
        <v>45</v>
      </c>
      <c r="G14" s="10" t="s">
        <v>46</v>
      </c>
    </row>
    <row r="15" customFormat="false" ht="15" hidden="false" customHeight="true" outlineLevel="0" collapsed="false">
      <c r="B15" s="12" t="s">
        <v>137</v>
      </c>
      <c r="C15" s="18" t="n">
        <f aca="false">'S&amp;U'!C6</f>
        <v>88426.0134999999</v>
      </c>
      <c r="D15" s="18" t="n">
        <f aca="false">C19</f>
        <v>73709.6533209374</v>
      </c>
      <c r="E15" s="18" t="n">
        <f aca="false">D19</f>
        <v>55893.8085997939</v>
      </c>
      <c r="F15" s="18" t="n">
        <f aca="false">E19</f>
        <v>35533.5000501168</v>
      </c>
      <c r="G15" s="18" t="n">
        <f aca="false">F19</f>
        <v>14550.3387883089</v>
      </c>
    </row>
    <row r="16" customFormat="false" ht="15" hidden="false" customHeight="true" outlineLevel="0" collapsed="false">
      <c r="B16" s="12" t="s">
        <v>138</v>
      </c>
      <c r="C16" s="18" t="n">
        <f aca="false">-MIN(C15,'S&amp;U'!$C$6*Assumptions!$C$30)</f>
        <v>-8842.60134999999</v>
      </c>
      <c r="D16" s="18" t="n">
        <f aca="false">-MIN(D15,'S&amp;U'!$C$6*Assumptions!$C$30)</f>
        <v>-8842.60134999999</v>
      </c>
      <c r="E16" s="18" t="n">
        <f aca="false">-MIN(E15,'S&amp;U'!$C$6*Assumptions!$C$30)</f>
        <v>-8842.60134999999</v>
      </c>
      <c r="F16" s="18" t="n">
        <f aca="false">-MIN(F15,'S&amp;U'!$C$6*Assumptions!$C$30)</f>
        <v>-8842.60134999999</v>
      </c>
      <c r="G16" s="18" t="n">
        <f aca="false">-MIN(G15,'S&amp;U'!$C$6*Assumptions!$C$30)</f>
        <v>-8842.60134999999</v>
      </c>
    </row>
    <row r="17" customFormat="false" ht="15" hidden="false" customHeight="true" outlineLevel="0" collapsed="false">
      <c r="B17" s="12" t="s">
        <v>139</v>
      </c>
      <c r="C17" s="18" t="n">
        <f aca="false">C15*Assumptions!$C$29</f>
        <v>8400.47128249999</v>
      </c>
      <c r="D17" s="18" t="n">
        <f aca="false">D15*Assumptions!$C$29</f>
        <v>7002.41706548906</v>
      </c>
      <c r="E17" s="18" t="n">
        <f aca="false">E15*Assumptions!$C$29</f>
        <v>5309.91181698042</v>
      </c>
      <c r="F17" s="18" t="n">
        <f aca="false">F15*Assumptions!$C$29</f>
        <v>3375.68250476109</v>
      </c>
      <c r="G17" s="18" t="n">
        <f aca="false">G15*Assumptions!$C$29</f>
        <v>1382.28218488935</v>
      </c>
    </row>
    <row r="18" customFormat="false" ht="15" hidden="false" customHeight="true" outlineLevel="0" collapsed="false">
      <c r="B18" s="12" t="s">
        <v>140</v>
      </c>
      <c r="C18" s="18" t="n">
        <f aca="false">-MIN((C15+C16),MAX(0,Assumptions!$C$32*(C11-C29+C16)))</f>
        <v>-5873.75882906251</v>
      </c>
      <c r="D18" s="18" t="n">
        <f aca="false">-MIN((D15+D16),MAX(0,Assumptions!$C$32*(D11-D29+D16)))</f>
        <v>-8973.24337114357</v>
      </c>
      <c r="E18" s="18" t="n">
        <f aca="false">-MIN((E15+E16),MAX(0,Assumptions!$C$32*(E11-E29+E16)))</f>
        <v>-11517.7071996771</v>
      </c>
      <c r="F18" s="18" t="n">
        <f aca="false">-MIN((F15+F16),MAX(0,Assumptions!$C$32*(F11-F29+F16)))</f>
        <v>-12140.5599118079</v>
      </c>
      <c r="G18" s="18" t="n">
        <f aca="false">-MIN((G15+G16),MAX(0,Assumptions!$C$32*(G11-G29+G16)))</f>
        <v>-5707.7374383089</v>
      </c>
    </row>
    <row r="19" customFormat="false" ht="15" hidden="false" customHeight="true" outlineLevel="0" collapsed="false">
      <c r="B19" s="21" t="s">
        <v>141</v>
      </c>
      <c r="C19" s="22" t="n">
        <f aca="false">C15+C16+C18</f>
        <v>73709.6533209374</v>
      </c>
      <c r="D19" s="22" t="n">
        <f aca="false">D15+D16+D18</f>
        <v>55893.8085997939</v>
      </c>
      <c r="E19" s="22" t="n">
        <f aca="false">E15+E16+E18</f>
        <v>35533.5000501168</v>
      </c>
      <c r="F19" s="22" t="n">
        <f aca="false">F15+F16+F18</f>
        <v>14550.3387883089</v>
      </c>
      <c r="G19" s="22" t="n">
        <f aca="false">G15+G16+G18</f>
        <v>0</v>
      </c>
    </row>
    <row r="21" customFormat="false" ht="15" hidden="false" customHeight="true" outlineLevel="0" collapsed="false">
      <c r="B21" s="6" t="s">
        <v>142</v>
      </c>
      <c r="C21" s="6"/>
      <c r="D21" s="6"/>
      <c r="E21" s="6"/>
      <c r="F21" s="6"/>
      <c r="G21" s="6"/>
      <c r="H21" s="6"/>
    </row>
    <row r="22" customFormat="false" ht="15" hidden="false" customHeight="true" outlineLevel="0" collapsed="false">
      <c r="C22" s="10" t="s">
        <v>42</v>
      </c>
      <c r="D22" s="10" t="s">
        <v>43</v>
      </c>
      <c r="E22" s="10" t="s">
        <v>44</v>
      </c>
      <c r="F22" s="10" t="s">
        <v>45</v>
      </c>
      <c r="G22" s="10" t="s">
        <v>46</v>
      </c>
    </row>
    <row r="23" customFormat="false" ht="15" hidden="false" customHeight="true" outlineLevel="0" collapsed="false">
      <c r="B23" s="12" t="s">
        <v>137</v>
      </c>
      <c r="C23" s="18" t="n">
        <f aca="false">'S&amp;U'!C7</f>
        <v>32154.914</v>
      </c>
      <c r="D23" s="18" t="n">
        <f aca="false">C25</f>
        <v>32154.914</v>
      </c>
      <c r="E23" s="18" t="n">
        <f aca="false">D25</f>
        <v>32154.914</v>
      </c>
      <c r="F23" s="18" t="n">
        <f aca="false">E25</f>
        <v>32154.914</v>
      </c>
      <c r="G23" s="18" t="n">
        <f aca="false">F25</f>
        <v>32154.914</v>
      </c>
    </row>
    <row r="24" customFormat="false" ht="15" hidden="false" customHeight="true" outlineLevel="0" collapsed="false">
      <c r="B24" s="12" t="s">
        <v>139</v>
      </c>
      <c r="C24" s="18" t="n">
        <f aca="false">C23*Assumptions!$C$31</f>
        <v>2250.84398</v>
      </c>
      <c r="D24" s="18" t="n">
        <f aca="false">D23*Assumptions!$C$31</f>
        <v>2250.84398</v>
      </c>
      <c r="E24" s="18" t="n">
        <f aca="false">E23*Assumptions!$C$31</f>
        <v>2250.84398</v>
      </c>
      <c r="F24" s="18" t="n">
        <f aca="false">F23*Assumptions!$C$31</f>
        <v>2250.84398</v>
      </c>
      <c r="G24" s="18" t="n">
        <f aca="false">G23*Assumptions!$C$31</f>
        <v>2250.84398</v>
      </c>
    </row>
    <row r="25" customFormat="false" ht="15" hidden="false" customHeight="true" outlineLevel="0" collapsed="false">
      <c r="B25" s="21" t="s">
        <v>141</v>
      </c>
      <c r="C25" s="22" t="n">
        <f aca="false">C23</f>
        <v>32154.914</v>
      </c>
      <c r="D25" s="22" t="n">
        <f aca="false">D23</f>
        <v>32154.914</v>
      </c>
      <c r="E25" s="22" t="n">
        <f aca="false">E23</f>
        <v>32154.914</v>
      </c>
      <c r="F25" s="22" t="n">
        <f aca="false">F23</f>
        <v>32154.914</v>
      </c>
      <c r="G25" s="22" t="n">
        <f aca="false">G23</f>
        <v>32154.914</v>
      </c>
    </row>
    <row r="27" customFormat="false" ht="15" hidden="false" customHeight="true" outlineLevel="0" collapsed="false">
      <c r="B27" s="6" t="s">
        <v>143</v>
      </c>
      <c r="C27" s="6"/>
      <c r="D27" s="6"/>
      <c r="E27" s="6"/>
      <c r="F27" s="6"/>
      <c r="G27" s="6"/>
      <c r="H27" s="6"/>
    </row>
    <row r="28" customFormat="false" ht="15" hidden="false" customHeight="true" outlineLevel="0" collapsed="false">
      <c r="C28" s="10" t="s">
        <v>42</v>
      </c>
      <c r="D28" s="10" t="s">
        <v>43</v>
      </c>
      <c r="E28" s="10" t="s">
        <v>44</v>
      </c>
      <c r="F28" s="10" t="s">
        <v>45</v>
      </c>
      <c r="G28" s="10" t="s">
        <v>46</v>
      </c>
    </row>
    <row r="29" customFormat="false" ht="15" hidden="false" customHeight="true" outlineLevel="0" collapsed="false">
      <c r="B29" s="12" t="s">
        <v>144</v>
      </c>
      <c r="C29" s="18" t="n">
        <f aca="false">C17+C24</f>
        <v>10651.3152625</v>
      </c>
      <c r="D29" s="18" t="n">
        <f aca="false">D17+D24</f>
        <v>9253.26104548905</v>
      </c>
      <c r="E29" s="18" t="n">
        <f aca="false">E17+E24</f>
        <v>7560.75579698041</v>
      </c>
      <c r="F29" s="18" t="n">
        <f aca="false">F17+F24</f>
        <v>5626.52648476109</v>
      </c>
      <c r="G29" s="18" t="n">
        <f aca="false">G17+G24</f>
        <v>3633.12616488934</v>
      </c>
    </row>
    <row r="30" customFormat="false" ht="15" hidden="false" customHeight="true" outlineLevel="0" collapsed="false">
      <c r="B30" s="12" t="s">
        <v>145</v>
      </c>
      <c r="C30" s="18" t="n">
        <f aca="false">-C16</f>
        <v>8842.60134999999</v>
      </c>
      <c r="D30" s="18" t="n">
        <f aca="false">-D16</f>
        <v>8842.60134999999</v>
      </c>
      <c r="E30" s="18" t="n">
        <f aca="false">-E16</f>
        <v>8842.60134999999</v>
      </c>
      <c r="F30" s="18" t="n">
        <f aca="false">-F16</f>
        <v>8842.60134999999</v>
      </c>
      <c r="G30" s="18" t="n">
        <f aca="false">-G16</f>
        <v>8842.60134999999</v>
      </c>
    </row>
    <row r="31" customFormat="false" ht="15" hidden="false" customHeight="true" outlineLevel="0" collapsed="false">
      <c r="B31" s="21" t="s">
        <v>146</v>
      </c>
      <c r="C31" s="22" t="n">
        <f aca="false">C29+C30</f>
        <v>19493.9166125</v>
      </c>
      <c r="D31" s="22" t="n">
        <f aca="false">D29+D30</f>
        <v>18095.862395489</v>
      </c>
      <c r="E31" s="22" t="n">
        <f aca="false">E29+E30</f>
        <v>16403.3571469804</v>
      </c>
      <c r="F31" s="22" t="n">
        <f aca="false">F29+F30</f>
        <v>14469.1278347611</v>
      </c>
      <c r="G31" s="22" t="n">
        <f aca="false">G29+G30</f>
        <v>12475.7275148893</v>
      </c>
    </row>
    <row r="32" customFormat="false" ht="15" hidden="false" customHeight="true" outlineLevel="0" collapsed="false">
      <c r="B32" s="21" t="s">
        <v>147</v>
      </c>
      <c r="C32" s="27" t="n">
        <f aca="false">IF(C31=0,99,C11/C31)</f>
        <v>1.40174986866047</v>
      </c>
      <c r="D32" s="27" t="n">
        <f aca="false">IF(D31=0,99,D11/D31)</f>
        <v>1.66116354298984</v>
      </c>
      <c r="E32" s="27" t="n">
        <f aca="false">IF(E31=0,99,E11/E31)</f>
        <v>1.93620731386256</v>
      </c>
      <c r="F32" s="27" t="n">
        <f aca="false">IF(F31=0,99,F11/F31)</f>
        <v>2.11875528370512</v>
      </c>
      <c r="G32" s="27" t="n">
        <f aca="false">IF(G31=0,99,G11/G31)</f>
        <v>2.4847501883378</v>
      </c>
    </row>
    <row r="33" customFormat="false" ht="15" hidden="false" customHeight="true" outlineLevel="0" collapsed="false">
      <c r="B33" s="12" t="s">
        <v>148</v>
      </c>
      <c r="C33" s="18" t="n">
        <f aca="false">C19+C25</f>
        <v>105864.567320937</v>
      </c>
      <c r="D33" s="18" t="n">
        <f aca="false">D19+D25</f>
        <v>88048.7225997938</v>
      </c>
      <c r="E33" s="18" t="n">
        <f aca="false">E19+E25</f>
        <v>67688.4140501168</v>
      </c>
      <c r="F33" s="18" t="n">
        <f aca="false">F19+F25</f>
        <v>46705.2527883089</v>
      </c>
      <c r="G33" s="18" t="n">
        <f aca="false">G19+G25</f>
        <v>32154.914</v>
      </c>
    </row>
    <row r="34" customFormat="false" ht="15" hidden="false" customHeight="true" outlineLevel="0" collapsed="false">
      <c r="B34" s="12" t="s">
        <v>149</v>
      </c>
      <c r="C34" s="19" t="n">
        <f aca="false">(C19+C25)/C7</f>
        <v>2.88952308229847</v>
      </c>
      <c r="D34" s="19" t="n">
        <f aca="false">(D19+D25)/D7</f>
        <v>2.14616095170033</v>
      </c>
      <c r="E34" s="19" t="n">
        <f aca="false">(E19+E25)/E7</f>
        <v>1.51660811968654</v>
      </c>
      <c r="F34" s="19" t="n">
        <f aca="false">(F19+F25)/F7</f>
        <v>1.01589717596075</v>
      </c>
      <c r="G34" s="19" t="n">
        <f aca="false">(G19+G25)/G7</f>
        <v>0.679023777807446</v>
      </c>
    </row>
  </sheetData>
  <mergeCells count="6">
    <mergeCell ref="B2:I2"/>
    <mergeCell ref="B3:I3"/>
    <mergeCell ref="B5:H5"/>
    <mergeCell ref="B13:H13"/>
    <mergeCell ref="B21:H21"/>
    <mergeCell ref="B27:H2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4"/>
    <col collapsed="false" customWidth="true" hidden="false" outlineLevel="0" max="7" min="3" style="1" width="13"/>
  </cols>
  <sheetData>
    <row r="2" customFormat="false" ht="19.5" hidden="false" customHeight="true" outlineLevel="0" collapsed="false">
      <c r="B2" s="2" t="s">
        <v>150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151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152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C6" s="10" t="s">
        <v>42</v>
      </c>
      <c r="D6" s="10" t="s">
        <v>43</v>
      </c>
      <c r="E6" s="10" t="s">
        <v>44</v>
      </c>
      <c r="F6" s="10" t="s">
        <v>45</v>
      </c>
      <c r="G6" s="10" t="s">
        <v>46</v>
      </c>
    </row>
    <row r="7" customFormat="false" ht="15" hidden="false" customHeight="true" outlineLevel="0" collapsed="false">
      <c r="B7" s="12" t="s">
        <v>102</v>
      </c>
      <c r="C7" s="16" t="n">
        <f aca="false">Operating!D7</f>
        <v>280311.535</v>
      </c>
      <c r="D7" s="16" t="n">
        <f aca="false">Operating!E7</f>
        <v>287319.323375</v>
      </c>
      <c r="E7" s="16" t="n">
        <f aca="false">Operating!F7</f>
        <v>295938.90307625</v>
      </c>
      <c r="F7" s="16" t="n">
        <f aca="false">Operating!G7</f>
        <v>304817.070168537</v>
      </c>
      <c r="G7" s="16" t="n">
        <f aca="false">Operating!H7</f>
        <v>313961.582273594</v>
      </c>
    </row>
    <row r="8" customFormat="false" ht="15" hidden="false" customHeight="true" outlineLevel="0" collapsed="false">
      <c r="B8" s="12" t="s">
        <v>106</v>
      </c>
      <c r="C8" s="16" t="n">
        <f aca="false">Operating!D11</f>
        <v>36637.3842</v>
      </c>
      <c r="D8" s="16" t="n">
        <f aca="false">Operating!E11</f>
        <v>41026.1506855</v>
      </c>
      <c r="E8" s="16" t="n">
        <f aca="false">Operating!F11</f>
        <v>44631.446430675</v>
      </c>
      <c r="F8" s="16" t="n">
        <f aca="false">Operating!G11</f>
        <v>45974.3898235953</v>
      </c>
      <c r="G8" s="16" t="n">
        <f aca="false">Operating!H11</f>
        <v>47354.6215183031</v>
      </c>
    </row>
    <row r="9" customFormat="false" ht="15" hidden="false" customHeight="true" outlineLevel="0" collapsed="false">
      <c r="B9" s="12" t="s">
        <v>153</v>
      </c>
      <c r="C9" s="16" t="n">
        <f aca="false">Operating!D13</f>
        <v>-3000</v>
      </c>
      <c r="D9" s="16" t="n">
        <f aca="false">Operating!E13</f>
        <v>-3100</v>
      </c>
      <c r="E9" s="16" t="n">
        <f aca="false">Operating!F13</f>
        <v>-3200</v>
      </c>
      <c r="F9" s="16" t="n">
        <f aca="false">Operating!G13</f>
        <v>-3300</v>
      </c>
      <c r="G9" s="16" t="n">
        <f aca="false">Operating!H13</f>
        <v>-3400</v>
      </c>
    </row>
    <row r="10" customFormat="false" ht="15" hidden="false" customHeight="true" outlineLevel="0" collapsed="false">
      <c r="B10" s="21" t="s">
        <v>109</v>
      </c>
      <c r="C10" s="22" t="n">
        <f aca="false">C8+C9</f>
        <v>33637.3842</v>
      </c>
      <c r="D10" s="22" t="n">
        <f aca="false">D8+D9</f>
        <v>37926.1506855</v>
      </c>
      <c r="E10" s="22" t="n">
        <f aca="false">E8+E9</f>
        <v>41431.446430675</v>
      </c>
      <c r="F10" s="22" t="n">
        <f aca="false">F8+F9</f>
        <v>42674.3898235953</v>
      </c>
      <c r="G10" s="22" t="n">
        <f aca="false">G8+G9</f>
        <v>43954.6215183031</v>
      </c>
    </row>
    <row r="11" customFormat="false" ht="15" hidden="false" customHeight="true" outlineLevel="0" collapsed="false">
      <c r="B11" s="12" t="s">
        <v>154</v>
      </c>
      <c r="C11" s="16" t="n">
        <f aca="false">-Debt!C29</f>
        <v>-10651.3152625</v>
      </c>
      <c r="D11" s="16" t="n">
        <f aca="false">-Debt!D29</f>
        <v>-9253.26104548905</v>
      </c>
      <c r="E11" s="16" t="n">
        <f aca="false">-Debt!E29</f>
        <v>-7560.75579698041</v>
      </c>
      <c r="F11" s="16" t="n">
        <f aca="false">-Debt!F29</f>
        <v>-5626.52648476109</v>
      </c>
      <c r="G11" s="16" t="n">
        <f aca="false">-Debt!G29</f>
        <v>-3633.12616488934</v>
      </c>
    </row>
    <row r="12" customFormat="false" ht="15" hidden="false" customHeight="true" outlineLevel="0" collapsed="false">
      <c r="B12" s="21" t="s">
        <v>155</v>
      </c>
      <c r="C12" s="22" t="n">
        <f aca="false">C10+C11</f>
        <v>22986.0689375</v>
      </c>
      <c r="D12" s="22" t="n">
        <f aca="false">D10+D11</f>
        <v>28672.8896400109</v>
      </c>
      <c r="E12" s="22" t="n">
        <f aca="false">E10+E11</f>
        <v>33870.6906336946</v>
      </c>
      <c r="F12" s="22" t="n">
        <f aca="false">F10+F11</f>
        <v>37047.8633388342</v>
      </c>
      <c r="G12" s="22" t="n">
        <f aca="false">G10+G11</f>
        <v>40321.4953534138</v>
      </c>
    </row>
    <row r="13" customFormat="false" ht="15" hidden="false" customHeight="true" outlineLevel="0" collapsed="false">
      <c r="B13" s="12" t="s">
        <v>156</v>
      </c>
      <c r="C13" s="18" t="n">
        <f aca="false">-MAX(0,C12)*Assumptions!$C$14</f>
        <v>-5976.37792375</v>
      </c>
      <c r="D13" s="18" t="n">
        <f aca="false">-MAX(0,D12)*Assumptions!$C$14</f>
        <v>-7454.95130640284</v>
      </c>
      <c r="E13" s="18" t="n">
        <f aca="false">-MAX(0,E12)*Assumptions!$C$14</f>
        <v>-8806.37956476059</v>
      </c>
      <c r="F13" s="18" t="n">
        <f aca="false">-MAX(0,F12)*Assumptions!$C$14</f>
        <v>-9632.44446809689</v>
      </c>
      <c r="G13" s="18" t="n">
        <f aca="false">-MAX(0,G12)*Assumptions!$C$14</f>
        <v>-10483.5887918876</v>
      </c>
    </row>
    <row r="14" customFormat="false" ht="15" hidden="false" customHeight="true" outlineLevel="0" collapsed="false">
      <c r="B14" s="21" t="s">
        <v>157</v>
      </c>
      <c r="C14" s="22" t="n">
        <f aca="false">C12+C13</f>
        <v>17009.69101375</v>
      </c>
      <c r="D14" s="22" t="n">
        <f aca="false">D12+D13</f>
        <v>21217.9383336081</v>
      </c>
      <c r="E14" s="22" t="n">
        <f aca="false">E12+E13</f>
        <v>25064.311068934</v>
      </c>
      <c r="F14" s="22" t="n">
        <f aca="false">F12+F13</f>
        <v>27415.4188707373</v>
      </c>
      <c r="G14" s="22" t="n">
        <f aca="false">G12+G13</f>
        <v>29837.9065615262</v>
      </c>
    </row>
  </sheetData>
  <mergeCells count="3">
    <mergeCell ref="B2:I2"/>
    <mergeCell ref="B3:I3"/>
    <mergeCell ref="B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6"/>
    <col collapsed="false" customWidth="true" hidden="false" outlineLevel="0" max="7" min="3" style="1" width="13"/>
  </cols>
  <sheetData>
    <row r="2" customFormat="false" ht="19.5" hidden="false" customHeight="true" outlineLevel="0" collapsed="false">
      <c r="B2" s="2" t="s">
        <v>158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159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160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C6" s="10" t="s">
        <v>42</v>
      </c>
      <c r="D6" s="10" t="s">
        <v>43</v>
      </c>
      <c r="E6" s="10" t="s">
        <v>44</v>
      </c>
      <c r="F6" s="10" t="s">
        <v>45</v>
      </c>
      <c r="G6" s="10" t="s">
        <v>46</v>
      </c>
    </row>
    <row r="7" customFormat="false" ht="15" hidden="false" customHeight="true" outlineLevel="0" collapsed="false">
      <c r="B7" s="12" t="s">
        <v>157</v>
      </c>
      <c r="C7" s="16" t="n">
        <f aca="false">IS!C14</f>
        <v>17009.69101375</v>
      </c>
      <c r="D7" s="16" t="n">
        <f aca="false">IS!D14</f>
        <v>21217.9383336081</v>
      </c>
      <c r="E7" s="16" t="n">
        <f aca="false">IS!E14</f>
        <v>25064.311068934</v>
      </c>
      <c r="F7" s="16" t="n">
        <f aca="false">IS!F14</f>
        <v>27415.4188707373</v>
      </c>
      <c r="G7" s="16" t="n">
        <f aca="false">IS!G14</f>
        <v>29837.9065615262</v>
      </c>
    </row>
    <row r="8" customFormat="false" ht="15" hidden="false" customHeight="true" outlineLevel="0" collapsed="false">
      <c r="B8" s="12" t="s">
        <v>161</v>
      </c>
      <c r="C8" s="16" t="n">
        <f aca="false">-IS!C9</f>
        <v>3000</v>
      </c>
      <c r="D8" s="16" t="n">
        <f aca="false">-IS!D9</f>
        <v>3100</v>
      </c>
      <c r="E8" s="16" t="n">
        <f aca="false">-IS!E9</f>
        <v>3200</v>
      </c>
      <c r="F8" s="16" t="n">
        <f aca="false">-IS!F9</f>
        <v>3300</v>
      </c>
      <c r="G8" s="16" t="n">
        <f aca="false">-IS!G9</f>
        <v>3400</v>
      </c>
    </row>
    <row r="9" customFormat="false" ht="15" hidden="false" customHeight="true" outlineLevel="0" collapsed="false">
      <c r="B9" s="12" t="s">
        <v>133</v>
      </c>
      <c r="C9" s="16" t="n">
        <f aca="false">Operating!D19</f>
        <v>-835.411224999989</v>
      </c>
      <c r="D9" s="16" t="n">
        <f aca="false">Operating!E19</f>
        <v>-911.012488749984</v>
      </c>
      <c r="E9" s="16" t="n">
        <f aca="false">Operating!F19</f>
        <v>-1364.76678603125</v>
      </c>
      <c r="F9" s="16" t="n">
        <f aca="false">Operating!G19</f>
        <v>-2885.40430499344</v>
      </c>
      <c r="G9" s="16" t="n">
        <f aca="false">Operating!H19</f>
        <v>-2971.96643414325</v>
      </c>
    </row>
    <row r="10" customFormat="false" ht="15" hidden="false" customHeight="true" outlineLevel="0" collapsed="false">
      <c r="B10" s="21" t="s">
        <v>162</v>
      </c>
      <c r="C10" s="22" t="n">
        <f aca="false">C7+C8+C9</f>
        <v>19174.27978875</v>
      </c>
      <c r="D10" s="22" t="n">
        <f aca="false">D7+D8+D9</f>
        <v>23406.9258448581</v>
      </c>
      <c r="E10" s="22" t="n">
        <f aca="false">E7+E8+E9</f>
        <v>26899.5442829027</v>
      </c>
      <c r="F10" s="22" t="n">
        <f aca="false">F7+F8+F9</f>
        <v>27830.0145657438</v>
      </c>
      <c r="G10" s="22" t="n">
        <f aca="false">G7+G8+G9</f>
        <v>30265.940127383</v>
      </c>
    </row>
    <row r="11" customFormat="false" ht="15" hidden="false" customHeight="true" outlineLevel="0" collapsed="false">
      <c r="B11" s="12" t="s">
        <v>113</v>
      </c>
      <c r="C11" s="16" t="n">
        <f aca="false">Operating!D20</f>
        <v>-2500</v>
      </c>
      <c r="D11" s="16" t="n">
        <f aca="false">Operating!E20</f>
        <v>-2600</v>
      </c>
      <c r="E11" s="16" t="n">
        <f aca="false">Operating!F20</f>
        <v>-2700</v>
      </c>
      <c r="F11" s="16" t="n">
        <f aca="false">Operating!G20</f>
        <v>-2800</v>
      </c>
      <c r="G11" s="16" t="n">
        <f aca="false">Operating!H20</f>
        <v>-2900</v>
      </c>
    </row>
    <row r="12" customFormat="false" ht="15" hidden="false" customHeight="true" outlineLevel="0" collapsed="false">
      <c r="B12" s="21" t="s">
        <v>163</v>
      </c>
      <c r="C12" s="22" t="n">
        <f aca="false">C10+C11</f>
        <v>16674.27978875</v>
      </c>
      <c r="D12" s="22" t="n">
        <f aca="false">D10+D11</f>
        <v>20806.9258448581</v>
      </c>
      <c r="E12" s="22" t="n">
        <f aca="false">E10+E11</f>
        <v>24199.5442829027</v>
      </c>
      <c r="F12" s="22" t="n">
        <f aca="false">F10+F11</f>
        <v>25030.0145657438</v>
      </c>
      <c r="G12" s="22" t="n">
        <f aca="false">G10+G11</f>
        <v>27365.940127383</v>
      </c>
    </row>
    <row r="13" customFormat="false" ht="15" hidden="false" customHeight="true" outlineLevel="0" collapsed="false">
      <c r="B13" s="12" t="s">
        <v>164</v>
      </c>
      <c r="C13" s="16" t="n">
        <f aca="false">Debt!C16</f>
        <v>-8842.60134999999</v>
      </c>
      <c r="D13" s="16" t="n">
        <f aca="false">Debt!D16</f>
        <v>-8842.60134999999</v>
      </c>
      <c r="E13" s="16" t="n">
        <f aca="false">Debt!E16</f>
        <v>-8842.60134999999</v>
      </c>
      <c r="F13" s="16" t="n">
        <f aca="false">Debt!F16</f>
        <v>-8842.60134999999</v>
      </c>
      <c r="G13" s="16" t="n">
        <f aca="false">Debt!G16</f>
        <v>-8842.60134999999</v>
      </c>
    </row>
    <row r="14" customFormat="false" ht="15" hidden="false" customHeight="true" outlineLevel="0" collapsed="false">
      <c r="B14" s="12" t="s">
        <v>165</v>
      </c>
      <c r="C14" s="16" t="n">
        <f aca="false">Debt!C18</f>
        <v>-5873.75882906251</v>
      </c>
      <c r="D14" s="16" t="n">
        <f aca="false">Debt!D18</f>
        <v>-8973.24337114357</v>
      </c>
      <c r="E14" s="16" t="n">
        <f aca="false">Debt!E18</f>
        <v>-11517.7071996771</v>
      </c>
      <c r="F14" s="16" t="n">
        <f aca="false">Debt!F18</f>
        <v>-12140.5599118079</v>
      </c>
      <c r="G14" s="16" t="n">
        <f aca="false">Debt!G18</f>
        <v>-5707.7374383089</v>
      </c>
    </row>
    <row r="15" customFormat="false" ht="15" hidden="false" customHeight="true" outlineLevel="0" collapsed="false">
      <c r="B15" s="21" t="s">
        <v>166</v>
      </c>
      <c r="C15" s="22" t="n">
        <f aca="false">C12+C13+C14</f>
        <v>1957.9196096875</v>
      </c>
      <c r="D15" s="22" t="n">
        <f aca="false">D12+D13+D14</f>
        <v>2991.08112371452</v>
      </c>
      <c r="E15" s="22" t="n">
        <f aca="false">E12+E13+E14</f>
        <v>3839.23573322569</v>
      </c>
      <c r="F15" s="22" t="n">
        <f aca="false">F12+F13+F14</f>
        <v>4046.85330393596</v>
      </c>
      <c r="G15" s="22" t="n">
        <f aca="false">G12+G13+G14</f>
        <v>12815.6013390741</v>
      </c>
    </row>
    <row r="16" customFormat="false" ht="15" hidden="false" customHeight="true" outlineLevel="0" collapsed="false">
      <c r="B16" s="12" t="s">
        <v>167</v>
      </c>
      <c r="C16" s="18" t="n">
        <f aca="false">Assumptions!C28</f>
        <v>5000</v>
      </c>
      <c r="D16" s="18" t="n">
        <f aca="false">C17</f>
        <v>6957.9196096875</v>
      </c>
      <c r="E16" s="18" t="n">
        <f aca="false">D17</f>
        <v>9949.00073340203</v>
      </c>
      <c r="F16" s="18" t="n">
        <f aca="false">E17</f>
        <v>13788.2364666277</v>
      </c>
      <c r="G16" s="18" t="n">
        <f aca="false">F17</f>
        <v>17835.0897705637</v>
      </c>
    </row>
    <row r="17" customFormat="false" ht="15" hidden="false" customHeight="true" outlineLevel="0" collapsed="false">
      <c r="B17" s="21" t="s">
        <v>168</v>
      </c>
      <c r="C17" s="22" t="n">
        <f aca="false">C16+C15</f>
        <v>6957.9196096875</v>
      </c>
      <c r="D17" s="22" t="n">
        <f aca="false">D16+D15</f>
        <v>9949.00073340203</v>
      </c>
      <c r="E17" s="22" t="n">
        <f aca="false">E16+E15</f>
        <v>13788.2364666277</v>
      </c>
      <c r="F17" s="22" t="n">
        <f aca="false">F16+F15</f>
        <v>17835.0897705637</v>
      </c>
      <c r="G17" s="22" t="n">
        <f aca="false">G16+G15</f>
        <v>30650.6911096377</v>
      </c>
    </row>
  </sheetData>
  <mergeCells count="3">
    <mergeCell ref="B2:I2"/>
    <mergeCell ref="B3:I3"/>
    <mergeCell ref="B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I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34"/>
    <col collapsed="false" customWidth="true" hidden="false" outlineLevel="0" max="7" min="3" style="1" width="13"/>
  </cols>
  <sheetData>
    <row r="2" customFormat="false" ht="19.5" hidden="false" customHeight="true" outlineLevel="0" collapsed="false">
      <c r="B2" s="2" t="s">
        <v>169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170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171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C6" s="10" t="s">
        <v>42</v>
      </c>
      <c r="D6" s="10" t="s">
        <v>43</v>
      </c>
      <c r="E6" s="10" t="s">
        <v>44</v>
      </c>
      <c r="F6" s="10" t="s">
        <v>45</v>
      </c>
      <c r="G6" s="10" t="s">
        <v>46</v>
      </c>
    </row>
    <row r="7" customFormat="false" ht="15" hidden="false" customHeight="true" outlineLevel="0" collapsed="false">
      <c r="B7" s="12" t="s">
        <v>172</v>
      </c>
      <c r="C7" s="16" t="n">
        <f aca="false">CF!C17</f>
        <v>6957.9196096875</v>
      </c>
      <c r="D7" s="16" t="n">
        <f aca="false">CF!D17</f>
        <v>9949.00073340203</v>
      </c>
      <c r="E7" s="16" t="n">
        <f aca="false">CF!E17</f>
        <v>13788.2364666277</v>
      </c>
      <c r="F7" s="16" t="n">
        <f aca="false">CF!F17</f>
        <v>17835.0897705637</v>
      </c>
      <c r="G7" s="16" t="n">
        <f aca="false">CF!G17</f>
        <v>30650.6911096377</v>
      </c>
    </row>
    <row r="8" customFormat="false" ht="15" hidden="false" customHeight="true" outlineLevel="0" collapsed="false">
      <c r="B8" s="12" t="s">
        <v>173</v>
      </c>
      <c r="C8" s="16" t="n">
        <f aca="false">Operating!D18</f>
        <v>93904.364225</v>
      </c>
      <c r="D8" s="16" t="n">
        <f aca="false">Operating!E18</f>
        <v>94815.37671375</v>
      </c>
      <c r="E8" s="16" t="n">
        <f aca="false">Operating!F18</f>
        <v>96180.1434997812</v>
      </c>
      <c r="F8" s="16" t="n">
        <f aca="false">Operating!G18</f>
        <v>99065.5478047747</v>
      </c>
      <c r="G8" s="16" t="n">
        <f aca="false">Operating!H18</f>
        <v>102037.514238918</v>
      </c>
    </row>
    <row r="9" customFormat="false" ht="15" hidden="false" customHeight="true" outlineLevel="0" collapsed="false">
      <c r="B9" s="12" t="s">
        <v>174</v>
      </c>
      <c r="C9" s="18" t="n">
        <f aca="false">('S&amp;U'!C6+'S&amp;U'!C7+'S&amp;U'!C9+'S&amp;U'!C8)-Assumptions!C28-(Operating!C18)-27414</f>
        <v>60790.3746749999</v>
      </c>
      <c r="D9" s="18" t="n">
        <f aca="false">C9</f>
        <v>60790.3746749999</v>
      </c>
      <c r="E9" s="18" t="n">
        <f aca="false">C9</f>
        <v>60790.3746749999</v>
      </c>
      <c r="F9" s="18" t="n">
        <f aca="false">C9</f>
        <v>60790.3746749999</v>
      </c>
      <c r="G9" s="18" t="n">
        <f aca="false">C9</f>
        <v>60790.3746749999</v>
      </c>
    </row>
    <row r="10" customFormat="false" ht="15" hidden="false" customHeight="true" outlineLevel="0" collapsed="false">
      <c r="B10" s="12" t="s">
        <v>175</v>
      </c>
      <c r="C10" s="18" t="n">
        <f aca="false">27414+Assumptions!D12-Assumptions!D11</f>
        <v>26914</v>
      </c>
      <c r="D10" s="18" t="n">
        <f aca="false">C10+Assumptions!E12-Assumptions!E11</f>
        <v>26414</v>
      </c>
      <c r="E10" s="18" t="n">
        <f aca="false">D10+Assumptions!F12-Assumptions!F11</f>
        <v>25914</v>
      </c>
      <c r="F10" s="18" t="n">
        <f aca="false">E10+Assumptions!G12-Assumptions!G11</f>
        <v>25414</v>
      </c>
      <c r="G10" s="18" t="n">
        <f aca="false">F10+Assumptions!H12-Assumptions!H11</f>
        <v>24914</v>
      </c>
    </row>
    <row r="11" customFormat="false" ht="15" hidden="false" customHeight="true" outlineLevel="0" collapsed="false">
      <c r="B11" s="21" t="s">
        <v>176</v>
      </c>
      <c r="C11" s="22" t="n">
        <f aca="false">C7+C8+C9+C10</f>
        <v>188566.658509687</v>
      </c>
      <c r="D11" s="22" t="n">
        <f aca="false">D7+D8+D9+D10</f>
        <v>191968.752122152</v>
      </c>
      <c r="E11" s="22" t="n">
        <f aca="false">E7+E8+E9+E10</f>
        <v>196672.754641409</v>
      </c>
      <c r="F11" s="22" t="n">
        <f aca="false">F7+F8+F9+F10</f>
        <v>203105.012250338</v>
      </c>
      <c r="G11" s="22" t="n">
        <f aca="false">G7+G8+G9+G10</f>
        <v>218392.580023556</v>
      </c>
    </row>
    <row r="12" customFormat="false" ht="15" hidden="false" customHeight="true" outlineLevel="0" collapsed="false">
      <c r="B12" s="12" t="s">
        <v>119</v>
      </c>
      <c r="C12" s="16" t="n">
        <f aca="false">Debt!C19</f>
        <v>73709.6533209374</v>
      </c>
      <c r="D12" s="16" t="n">
        <f aca="false">Debt!D19</f>
        <v>55893.8085997939</v>
      </c>
      <c r="E12" s="16" t="n">
        <f aca="false">Debt!E19</f>
        <v>35533.5000501168</v>
      </c>
      <c r="F12" s="16" t="n">
        <f aca="false">Debt!F19</f>
        <v>14550.3387883089</v>
      </c>
      <c r="G12" s="16" t="n">
        <f aca="false">Debt!G19</f>
        <v>0</v>
      </c>
    </row>
    <row r="13" customFormat="false" ht="15" hidden="false" customHeight="true" outlineLevel="0" collapsed="false">
      <c r="B13" s="12" t="s">
        <v>121</v>
      </c>
      <c r="C13" s="16" t="n">
        <f aca="false">Debt!C25</f>
        <v>32154.914</v>
      </c>
      <c r="D13" s="16" t="n">
        <f aca="false">Debt!D25</f>
        <v>32154.914</v>
      </c>
      <c r="E13" s="16" t="n">
        <f aca="false">Debt!E25</f>
        <v>32154.914</v>
      </c>
      <c r="F13" s="16" t="n">
        <f aca="false">Debt!F25</f>
        <v>32154.914</v>
      </c>
      <c r="G13" s="16" t="n">
        <f aca="false">Debt!G25</f>
        <v>32154.914</v>
      </c>
    </row>
    <row r="14" customFormat="false" ht="15" hidden="false" customHeight="true" outlineLevel="0" collapsed="false">
      <c r="B14" s="21" t="s">
        <v>177</v>
      </c>
      <c r="C14" s="18" t="n">
        <f aca="false">('S&amp;U'!C9+'S&amp;U'!C8)+IS!C14</f>
        <v>82702.09118875</v>
      </c>
      <c r="D14" s="18" t="n">
        <f aca="false">C14+IS!D14</f>
        <v>103920.029522358</v>
      </c>
      <c r="E14" s="18" t="n">
        <f aca="false">D14+IS!E14</f>
        <v>128984.340591292</v>
      </c>
      <c r="F14" s="18" t="n">
        <f aca="false">E14+IS!F14</f>
        <v>156399.759462029</v>
      </c>
      <c r="G14" s="18" t="n">
        <f aca="false">F14+IS!G14</f>
        <v>186237.666023556</v>
      </c>
    </row>
    <row r="15" customFormat="false" ht="15" hidden="false" customHeight="true" outlineLevel="0" collapsed="false">
      <c r="B15" s="21" t="s">
        <v>178</v>
      </c>
      <c r="C15" s="22" t="n">
        <f aca="false">C12+C13+C14</f>
        <v>188566.658509687</v>
      </c>
      <c r="D15" s="22" t="n">
        <f aca="false">D12+D13+D14</f>
        <v>191968.752122152</v>
      </c>
      <c r="E15" s="22" t="n">
        <f aca="false">E12+E13+E14</f>
        <v>196672.754641409</v>
      </c>
      <c r="F15" s="22" t="n">
        <f aca="false">F12+F13+F14</f>
        <v>203105.012250338</v>
      </c>
      <c r="G15" s="22" t="n">
        <f aca="false">G12+G13+G14</f>
        <v>218392.580023556</v>
      </c>
    </row>
    <row r="16" customFormat="false" ht="15" hidden="false" customHeight="true" outlineLevel="0" collapsed="false">
      <c r="B16" s="21" t="s">
        <v>179</v>
      </c>
      <c r="C16" s="26" t="n">
        <f aca="false">C11-C15</f>
        <v>0</v>
      </c>
      <c r="D16" s="26" t="n">
        <f aca="false">D11-D15</f>
        <v>0</v>
      </c>
      <c r="E16" s="26" t="n">
        <f aca="false">E11-E15</f>
        <v>0</v>
      </c>
      <c r="F16" s="26" t="n">
        <f aca="false">F11-F15</f>
        <v>0</v>
      </c>
      <c r="G16" s="26" t="n">
        <f aca="false">G11-G15</f>
        <v>0</v>
      </c>
    </row>
  </sheetData>
  <mergeCells count="3">
    <mergeCell ref="B2:I2"/>
    <mergeCell ref="B3:I3"/>
    <mergeCell ref="B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2A44"/>
    <pageSetUpPr fitToPage="false"/>
  </sheetPr>
  <dimension ref="B2:I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40"/>
    <col collapsed="false" customWidth="true" hidden="false" outlineLevel="0" max="8" min="3" style="1" width="15"/>
  </cols>
  <sheetData>
    <row r="2" customFormat="false" ht="19.5" hidden="false" customHeight="true" outlineLevel="0" collapsed="false">
      <c r="B2" s="2" t="s">
        <v>180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181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182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B6" s="12" t="s">
        <v>183</v>
      </c>
      <c r="C6" s="16" t="n">
        <f aca="false">Operating!H11</f>
        <v>47354.6215183031</v>
      </c>
    </row>
    <row r="7" customFormat="false" ht="15" hidden="false" customHeight="true" outlineLevel="0" collapsed="false">
      <c r="B7" s="12" t="s">
        <v>184</v>
      </c>
      <c r="C7" s="28" t="n">
        <f aca="false">Assumptions!C37</f>
        <v>5.5</v>
      </c>
    </row>
    <row r="8" customFormat="false" ht="15" hidden="false" customHeight="true" outlineLevel="0" collapsed="false">
      <c r="B8" s="21" t="s">
        <v>185</v>
      </c>
      <c r="C8" s="22" t="n">
        <f aca="false">C6*C7</f>
        <v>260450.418350667</v>
      </c>
    </row>
    <row r="9" customFormat="false" ht="15" hidden="false" customHeight="true" outlineLevel="0" collapsed="false">
      <c r="B9" s="12" t="s">
        <v>186</v>
      </c>
      <c r="C9" s="16" t="n">
        <f aca="false">-(Debt!G19+Debt!G25-CF!G17)</f>
        <v>-1504.22289036224</v>
      </c>
    </row>
    <row r="10" customFormat="false" ht="15" hidden="false" customHeight="true" outlineLevel="0" collapsed="false">
      <c r="B10" s="21" t="s">
        <v>187</v>
      </c>
      <c r="C10" s="26" t="n">
        <f aca="false">C8+C9</f>
        <v>258946.195460305</v>
      </c>
    </row>
    <row r="12" customFormat="false" ht="15" hidden="false" customHeight="true" outlineLevel="0" collapsed="false">
      <c r="B12" s="6" t="s">
        <v>188</v>
      </c>
      <c r="C12" s="6"/>
      <c r="D12" s="6"/>
      <c r="E12" s="6"/>
      <c r="F12" s="6"/>
      <c r="G12" s="6"/>
      <c r="H12" s="6"/>
    </row>
    <row r="13" customFormat="false" ht="15" hidden="false" customHeight="true" outlineLevel="0" collapsed="false">
      <c r="B13" s="12" t="s">
        <v>189</v>
      </c>
      <c r="C13" s="16" t="n">
        <f aca="false">'S&amp;U'!C9+'S&amp;U'!C8</f>
        <v>65692.400175</v>
      </c>
    </row>
    <row r="14" customFormat="false" ht="15" hidden="false" customHeight="true" outlineLevel="0" collapsed="false">
      <c r="B14" s="12" t="s">
        <v>90</v>
      </c>
      <c r="C14" s="29" t="n">
        <f aca="false">Assumptions!C36</f>
        <v>5</v>
      </c>
    </row>
    <row r="15" customFormat="false" ht="15" hidden="false" customHeight="true" outlineLevel="0" collapsed="false">
      <c r="B15" s="21" t="s">
        <v>190</v>
      </c>
      <c r="C15" s="30" t="n">
        <f aca="false">C10/C13</f>
        <v>3.94179836283178</v>
      </c>
    </row>
    <row r="16" customFormat="false" ht="15" hidden="false" customHeight="true" outlineLevel="0" collapsed="false">
      <c r="B16" s="21" t="s">
        <v>191</v>
      </c>
      <c r="C16" s="31" t="n">
        <f aca="false">(C10/C13)^(1/C14)-1</f>
        <v>0.315645488913374</v>
      </c>
    </row>
    <row r="18" customFormat="false" ht="15" hidden="false" customHeight="true" outlineLevel="0" collapsed="false">
      <c r="B18" s="6" t="s">
        <v>192</v>
      </c>
      <c r="C18" s="6"/>
      <c r="D18" s="6"/>
      <c r="E18" s="6"/>
      <c r="F18" s="6"/>
      <c r="G18" s="6"/>
      <c r="H18" s="6"/>
    </row>
    <row r="19" customFormat="false" ht="15" hidden="false" customHeight="true" outlineLevel="0" collapsed="false">
      <c r="B19" s="12" t="s">
        <v>193</v>
      </c>
      <c r="C19" s="18" t="n">
        <f aca="false">(Operating!H11-Assumptions!C17)*Assumptions!C18</f>
        <v>83598.3913506674</v>
      </c>
    </row>
    <row r="20" customFormat="false" ht="15" hidden="false" customHeight="true" outlineLevel="0" collapsed="false">
      <c r="B20" s="12" t="s">
        <v>194</v>
      </c>
      <c r="C20" s="18" t="n">
        <f aca="false">(Assumptions!C37-Assumptions!C18)*Operating!H11</f>
        <v>0</v>
      </c>
    </row>
    <row r="21" customFormat="false" ht="15" hidden="false" customHeight="true" outlineLevel="0" collapsed="false">
      <c r="B21" s="12" t="s">
        <v>195</v>
      </c>
      <c r="C21" s="18" t="n">
        <f aca="false">('S&amp;U'!C6+'S&amp;U'!C7)-(Debt!G19+Debt!G25)+(CF!G17-Assumptions!C28)</f>
        <v>114076.704609638</v>
      </c>
      <c r="E21" s="32" t="s">
        <v>196</v>
      </c>
    </row>
    <row r="22" customFormat="false" ht="15" hidden="false" customHeight="true" outlineLevel="0" collapsed="false">
      <c r="B22" s="21" t="s">
        <v>197</v>
      </c>
      <c r="C22" s="22" t="n">
        <f aca="false">C19+C20+C21-('S&amp;U'!G8)</f>
        <v>193253.795285305</v>
      </c>
    </row>
    <row r="23" customFormat="false" ht="15" hidden="false" customHeight="true" outlineLevel="0" collapsed="false">
      <c r="B23" s="12" t="s">
        <v>198</v>
      </c>
      <c r="C23" s="18" t="n">
        <f aca="false">C22-(C10-C13)</f>
        <v>0</v>
      </c>
    </row>
    <row r="25" customFormat="false" ht="15" hidden="false" customHeight="true" outlineLevel="0" collapsed="false">
      <c r="B25" s="6" t="s">
        <v>199</v>
      </c>
      <c r="C25" s="6"/>
      <c r="D25" s="6"/>
      <c r="E25" s="6"/>
      <c r="F25" s="6"/>
      <c r="G25" s="6"/>
      <c r="H25" s="6"/>
    </row>
    <row r="26" customFormat="false" ht="15" hidden="false" customHeight="true" outlineLevel="0" collapsed="false">
      <c r="B26" s="12" t="s">
        <v>200</v>
      </c>
      <c r="C26" s="16" t="n">
        <f aca="false">C10</f>
        <v>258946.195460305</v>
      </c>
    </row>
    <row r="27" customFormat="false" ht="15" hidden="false" customHeight="true" outlineLevel="0" collapsed="false">
      <c r="B27" s="12" t="s">
        <v>201</v>
      </c>
      <c r="C27" s="18" t="n">
        <f aca="false">MIN(C26,C13)</f>
        <v>65692.400175</v>
      </c>
    </row>
    <row r="28" customFormat="false" ht="15" hidden="false" customHeight="true" outlineLevel="0" collapsed="false">
      <c r="B28" s="12" t="s">
        <v>202</v>
      </c>
      <c r="C28" s="18" t="n">
        <f aca="false">MIN(C26-C27,C13*((1+Assumptions!C38)^C14-1))</f>
        <v>30831.2878345088</v>
      </c>
    </row>
    <row r="29" customFormat="false" ht="15" hidden="false" customHeight="true" outlineLevel="0" collapsed="false">
      <c r="B29" s="12" t="s">
        <v>203</v>
      </c>
      <c r="C29" s="18" t="n">
        <f aca="false">MAX(0,C26-C27-C28)</f>
        <v>162422.507450796</v>
      </c>
    </row>
    <row r="30" customFormat="false" ht="15" hidden="false" customHeight="true" outlineLevel="0" collapsed="false">
      <c r="B30" s="12" t="s">
        <v>204</v>
      </c>
      <c r="C30" s="18" t="n">
        <f aca="false">C29*IF(C15&gt;=3,Assumptions!C41,IF(C15&gt;=2,Assumptions!C40,Assumptions!C39))</f>
        <v>48726.7522352389</v>
      </c>
    </row>
    <row r="31" customFormat="false" ht="15" hidden="false" customHeight="true" outlineLevel="0" collapsed="false">
      <c r="B31" s="12" t="s">
        <v>205</v>
      </c>
      <c r="C31" s="18" t="n">
        <f aca="false">C29-C30</f>
        <v>113695.755215557</v>
      </c>
    </row>
    <row r="32" customFormat="false" ht="15" hidden="false" customHeight="true" outlineLevel="0" collapsed="false">
      <c r="B32" s="21" t="s">
        <v>206</v>
      </c>
      <c r="C32" s="22" t="n">
        <f aca="false">C27+C28+C31</f>
        <v>210219.443225066</v>
      </c>
    </row>
    <row r="33" customFormat="false" ht="15" hidden="false" customHeight="true" outlineLevel="0" collapsed="false">
      <c r="B33" s="12" t="s">
        <v>207</v>
      </c>
      <c r="C33" s="33" t="n">
        <f aca="false">C32/C13</f>
        <v>3.20005727702225</v>
      </c>
    </row>
    <row r="34" customFormat="false" ht="15" hidden="false" customHeight="true" outlineLevel="0" collapsed="false">
      <c r="B34" s="21" t="s">
        <v>208</v>
      </c>
      <c r="C34" s="34" t="n">
        <f aca="false">(C32/C13)^(1/C14)-1</f>
        <v>0.261919206347776</v>
      </c>
    </row>
  </sheetData>
  <mergeCells count="6">
    <mergeCell ref="B2:I2"/>
    <mergeCell ref="B3:I3"/>
    <mergeCell ref="B5:H5"/>
    <mergeCell ref="B12:H12"/>
    <mergeCell ref="B18:H18"/>
    <mergeCell ref="B25:H2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E7D32"/>
    <pageSetUpPr fitToPage="false"/>
  </sheetPr>
  <dimension ref="B2:I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44"/>
    <col collapsed="false" customWidth="true" hidden="false" outlineLevel="0" max="7" min="3" style="1" width="13"/>
    <col collapsed="false" customWidth="true" hidden="false" outlineLevel="0" max="8" min="8" style="1" width="30"/>
  </cols>
  <sheetData>
    <row r="2" customFormat="false" ht="19.5" hidden="false" customHeight="true" outlineLevel="0" collapsed="false">
      <c r="B2" s="2" t="s">
        <v>209</v>
      </c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B3" s="3" t="s">
        <v>210</v>
      </c>
      <c r="C3" s="3"/>
      <c r="D3" s="3"/>
      <c r="E3" s="3"/>
      <c r="F3" s="3"/>
      <c r="G3" s="3"/>
      <c r="H3" s="3"/>
      <c r="I3" s="3"/>
    </row>
    <row r="5" customFormat="false" ht="15" hidden="false" customHeight="true" outlineLevel="0" collapsed="false">
      <c r="B5" s="6" t="s">
        <v>211</v>
      </c>
      <c r="C5" s="6"/>
      <c r="D5" s="6"/>
      <c r="E5" s="6"/>
      <c r="F5" s="6"/>
      <c r="G5" s="6"/>
      <c r="H5" s="6"/>
    </row>
    <row r="6" customFormat="false" ht="15" hidden="false" customHeight="true" outlineLevel="0" collapsed="false">
      <c r="B6" s="12" t="s">
        <v>212</v>
      </c>
      <c r="C6" s="35" t="n">
        <f aca="false">'S&amp;U'!C12</f>
        <v>0</v>
      </c>
      <c r="D6" s="36" t="str">
        <f aca="false">IF(ABS('S&amp;U'!C12)&lt;0.5,"OK","FAIL")</f>
        <v>OK</v>
      </c>
      <c r="H6" s="12" t="s">
        <v>213</v>
      </c>
    </row>
    <row r="7" customFormat="false" ht="15" hidden="false" customHeight="true" outlineLevel="0" collapsed="false">
      <c r="B7" s="12" t="s">
        <v>214</v>
      </c>
      <c r="C7" s="37" t="n">
        <f aca="false">BS!C16</f>
        <v>0</v>
      </c>
      <c r="D7" s="37" t="n">
        <f aca="false">BS!D16</f>
        <v>0</v>
      </c>
      <c r="E7" s="37" t="n">
        <f aca="false">BS!E16</f>
        <v>0</v>
      </c>
      <c r="F7" s="37" t="n">
        <f aca="false">BS!F16</f>
        <v>0</v>
      </c>
      <c r="G7" s="37" t="n">
        <f aca="false">BS!G16</f>
        <v>0</v>
      </c>
    </row>
    <row r="8" customFormat="false" ht="15" hidden="false" customHeight="true" outlineLevel="0" collapsed="false">
      <c r="B8" s="12" t="s">
        <v>215</v>
      </c>
      <c r="C8" s="38" t="str">
        <f aca="false">IF(ABS(BS!C16)&lt;0.5,"OK","FAIL")</f>
        <v>OK</v>
      </c>
      <c r="D8" s="38" t="str">
        <f aca="false">IF(ABS(BS!D16)&lt;0.5,"OK","FAIL")</f>
        <v>OK</v>
      </c>
      <c r="E8" s="38" t="str">
        <f aca="false">IF(ABS(BS!E16)&lt;0.5,"OK","FAIL")</f>
        <v>OK</v>
      </c>
      <c r="F8" s="38" t="str">
        <f aca="false">IF(ABS(BS!F16)&lt;0.5,"OK","FAIL")</f>
        <v>OK</v>
      </c>
      <c r="G8" s="38" t="str">
        <f aca="false">IF(ABS(BS!G16)&lt;0.5,"OK","FAIL")</f>
        <v>OK</v>
      </c>
    </row>
    <row r="9" customFormat="false" ht="15" hidden="false" customHeight="true" outlineLevel="0" collapsed="false">
      <c r="B9" s="12" t="s">
        <v>216</v>
      </c>
      <c r="C9" s="35" t="n">
        <f aca="false">Returns!C23</f>
        <v>0</v>
      </c>
      <c r="D9" s="36" t="str">
        <f aca="false">IF(ABS(Returns!C23)&lt;0.5,"OK","FAIL")</f>
        <v>OK</v>
      </c>
    </row>
    <row r="11" customFormat="false" ht="15" hidden="false" customHeight="true" outlineLevel="0" collapsed="false">
      <c r="B11" s="6" t="s">
        <v>217</v>
      </c>
      <c r="C11" s="6"/>
      <c r="D11" s="6"/>
      <c r="E11" s="6"/>
      <c r="F11" s="6"/>
      <c r="G11" s="6"/>
      <c r="H11" s="6"/>
    </row>
    <row r="12" customFormat="false" ht="15" hidden="false" customHeight="true" outlineLevel="0" collapsed="false">
      <c r="B12" s="12" t="s">
        <v>218</v>
      </c>
      <c r="C12" s="39" t="n">
        <f aca="false">Debt!C32</f>
        <v>1.40174986866047</v>
      </c>
      <c r="D12" s="39" t="n">
        <f aca="false">Debt!D32</f>
        <v>1.66116354298984</v>
      </c>
      <c r="E12" s="39" t="n">
        <f aca="false">Debt!E32</f>
        <v>1.93620731386256</v>
      </c>
      <c r="F12" s="39" t="n">
        <f aca="false">Debt!F32</f>
        <v>2.11875528370512</v>
      </c>
      <c r="G12" s="39" t="n">
        <f aca="false">Debt!G32</f>
        <v>2.4847501883378</v>
      </c>
    </row>
    <row r="13" customFormat="false" ht="15" hidden="false" customHeight="true" outlineLevel="0" collapsed="false">
      <c r="B13" s="12" t="s">
        <v>215</v>
      </c>
      <c r="C13" s="38" t="str">
        <f aca="false">IF(Debt!C32&gt;=Assumptions!$C$33,"OK","FAIL")</f>
        <v>OK</v>
      </c>
      <c r="D13" s="38" t="str">
        <f aca="false">IF(Debt!D32&gt;=Assumptions!$C$33,"OK","FAIL")</f>
        <v>OK</v>
      </c>
      <c r="E13" s="38" t="str">
        <f aca="false">IF(Debt!E32&gt;=Assumptions!$C$33,"OK","FAIL")</f>
        <v>OK</v>
      </c>
      <c r="F13" s="38" t="str">
        <f aca="false">IF(Debt!F32&gt;=Assumptions!$C$33,"OK","FAIL")</f>
        <v>OK</v>
      </c>
      <c r="G13" s="38" t="str">
        <f aca="false">IF(Debt!G32&gt;=Assumptions!$C$33,"OK","FAIL")</f>
        <v>OK</v>
      </c>
    </row>
    <row r="14" customFormat="false" ht="15" hidden="false" customHeight="true" outlineLevel="0" collapsed="false">
      <c r="B14" s="12" t="s">
        <v>219</v>
      </c>
      <c r="C14" s="40" t="n">
        <f aca="false">Returns!C15</f>
        <v>3.94179836283178</v>
      </c>
      <c r="D14" s="36" t="str">
        <f aca="false">IF(Returns!C15&gt;1,"OK","FAIL")</f>
        <v>OK</v>
      </c>
    </row>
    <row r="15" customFormat="false" ht="15" hidden="false" customHeight="true" outlineLevel="0" collapsed="false">
      <c r="B15" s="12" t="s">
        <v>220</v>
      </c>
      <c r="C15" s="41" t="n">
        <f aca="false">Returns!C16</f>
        <v>0.315645488913374</v>
      </c>
      <c r="D15" s="36" t="str">
        <f aca="false">IF(AND(Returns!C16&gt;0,Returns!C16&lt;0.6),"OK","WARN")</f>
        <v>OK</v>
      </c>
    </row>
    <row r="16" customFormat="false" ht="15" hidden="false" customHeight="true" outlineLevel="0" collapsed="false">
      <c r="B16" s="12" t="s">
        <v>221</v>
      </c>
      <c r="C16" s="35" t="n">
        <f aca="false">Debt!G19</f>
        <v>0</v>
      </c>
      <c r="D16" s="36" t="str">
        <f aca="false">IF(Debt!G19&gt;=-0.5,"OK","FAIL")</f>
        <v>OK</v>
      </c>
    </row>
    <row r="18" customFormat="false" ht="15" hidden="false" customHeight="true" outlineLevel="0" collapsed="false">
      <c r="B18" s="6" t="s">
        <v>222</v>
      </c>
      <c r="C18" s="6"/>
      <c r="D18" s="6"/>
      <c r="E18" s="6"/>
      <c r="F18" s="6"/>
      <c r="G18" s="6"/>
      <c r="H18" s="6"/>
    </row>
    <row r="19" customFormat="false" ht="15" hidden="false" customHeight="true" outlineLevel="0" collapsed="false">
      <c r="B19" s="12" t="s">
        <v>223</v>
      </c>
      <c r="C19" s="42" t="n">
        <f aca="false">SUMPRODUCT(--ISERROR(Assumptions!B5:I45))</f>
        <v>0</v>
      </c>
      <c r="D19" s="38" t="str">
        <f aca="false">IF(C19=0,"OK","FAIL")</f>
        <v>OK</v>
      </c>
    </row>
    <row r="20" customFormat="false" ht="15" hidden="false" customHeight="true" outlineLevel="0" collapsed="false">
      <c r="B20" s="12" t="s">
        <v>224</v>
      </c>
      <c r="C20" s="42" t="n">
        <f aca="false">SUMPRODUCT(--ISERROR(Operating!B5:H25))</f>
        <v>0</v>
      </c>
      <c r="D20" s="38" t="str">
        <f aca="false">IF(C20=0,"OK","FAIL")</f>
        <v>OK</v>
      </c>
    </row>
    <row r="21" customFormat="false" ht="15" hidden="false" customHeight="true" outlineLevel="0" collapsed="false">
      <c r="B21" s="12" t="s">
        <v>225</v>
      </c>
      <c r="C21" s="42" t="n">
        <f aca="false">SUMPRODUCT(--ISERROR(Debt!B5:G40))</f>
        <v>0</v>
      </c>
      <c r="D21" s="38" t="str">
        <f aca="false">IF(C21=0,"OK","FAIL")</f>
        <v>OK</v>
      </c>
    </row>
    <row r="22" customFormat="false" ht="15" hidden="false" customHeight="true" outlineLevel="0" collapsed="false">
      <c r="B22" s="12" t="s">
        <v>226</v>
      </c>
      <c r="C22" s="42" t="n">
        <f aca="false">SUMPRODUCT(--ISERROR(IS!B5:G16))</f>
        <v>0</v>
      </c>
      <c r="D22" s="38" t="str">
        <f aca="false">IF(C22=0,"OK","FAIL")</f>
        <v>OK</v>
      </c>
    </row>
    <row r="23" customFormat="false" ht="15" hidden="false" customHeight="true" outlineLevel="0" collapsed="false">
      <c r="B23" s="12" t="s">
        <v>227</v>
      </c>
      <c r="C23" s="42" t="n">
        <f aca="false">SUMPRODUCT(--ISERROR(CF!B5:G18))</f>
        <v>0</v>
      </c>
      <c r="D23" s="38" t="str">
        <f aca="false">IF(C23=0,"OK","FAIL")</f>
        <v>OK</v>
      </c>
    </row>
    <row r="24" customFormat="false" ht="15" hidden="false" customHeight="true" outlineLevel="0" collapsed="false">
      <c r="B24" s="12" t="s">
        <v>228</v>
      </c>
      <c r="C24" s="42" t="n">
        <f aca="false">SUMPRODUCT(--ISERROR(BS!B5:G18))</f>
        <v>0</v>
      </c>
      <c r="D24" s="38" t="str">
        <f aca="false">IF(C24=0,"OK","FAIL")</f>
        <v>OK</v>
      </c>
    </row>
    <row r="25" customFormat="false" ht="15" hidden="false" customHeight="true" outlineLevel="0" collapsed="false">
      <c r="B25" s="12" t="s">
        <v>229</v>
      </c>
      <c r="C25" s="42" t="n">
        <f aca="false">SUMPRODUCT(--ISERROR(Returns!B5:H35))</f>
        <v>0</v>
      </c>
      <c r="D25" s="38" t="str">
        <f aca="false">IF(C25=0,"OK","FAIL")</f>
        <v>OK</v>
      </c>
    </row>
    <row r="27" customFormat="false" ht="15" hidden="false" customHeight="true" outlineLevel="0" collapsed="false">
      <c r="B27" s="6" t="s">
        <v>230</v>
      </c>
      <c r="C27" s="6"/>
      <c r="D27" s="6"/>
      <c r="E27" s="6"/>
      <c r="F27" s="6"/>
      <c r="G27" s="6"/>
      <c r="H27" s="6"/>
    </row>
    <row r="28" customFormat="false" ht="25.5" hidden="false" customHeight="true" outlineLevel="0" collapsed="false">
      <c r="B28" s="43" t="str">
        <f aca="false">IF(AND(D6="OK",COUNTIF(C8:G8,"FAIL")=0,D9="OK",COUNTIF(C13:G13,"FAIL")=0,D14="OK",COUNTIF(D19:D25,"FAIL")=0),"MODEL IS CLEAN  —  all ties hold, no errors, covenant met","ISSUES DETECTED — scan FAIL cells above")</f>
        <v>MODEL IS CLEAN  —  all ties hold, no errors, covenant met</v>
      </c>
      <c r="C28" s="43"/>
      <c r="D28" s="43"/>
      <c r="E28" s="43"/>
      <c r="F28" s="43"/>
      <c r="G28" s="43"/>
      <c r="H28" s="43"/>
    </row>
  </sheetData>
  <mergeCells count="7">
    <mergeCell ref="B2:I2"/>
    <mergeCell ref="B3:I3"/>
    <mergeCell ref="B5:H5"/>
    <mergeCell ref="B11:H11"/>
    <mergeCell ref="B18:H18"/>
    <mergeCell ref="B27:H27"/>
    <mergeCell ref="B28:H2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2026-06-09T19:57:34Z</dcterms:created>
  <dc:creator>openpyxl</dc:creator>
  <dc:description/>
  <dc:language>en-US</dc:language>
  <cp:lastModifiedBy/>
  <dcterms:modified xsi:type="dcterms:W3CDTF">2026-06-09T20:03:46Z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