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roman\Desktop\"/>
    </mc:Choice>
  </mc:AlternateContent>
  <xr:revisionPtr revIDLastSave="0" documentId="11_B50DABFFF45B555855211A8513F952F270BA09D1" xr6:coauthVersionLast="47" xr6:coauthVersionMax="47" xr10:uidLastSave="{00000000-0000-0000-0000-000000000000}"/>
  <bookViews>
    <workbookView xWindow="-98" yWindow="-98" windowWidth="28996" windowHeight="15675" tabRatio="500" xr2:uid="{00000000-000D-0000-FFFF-FFFF00000000}"/>
  </bookViews>
  <sheets>
    <sheet name="Cover" sheetId="1" r:id="rId1"/>
    <sheet name="Live Market Data" sheetId="2" r:id="rId2"/>
    <sheet name="Assumptions" sheetId="3" r:id="rId3"/>
    <sheet name="Historical Financials" sheetId="4" r:id="rId4"/>
    <sheet name="Q1 2026 Deep Dive" sheetId="5" r:id="rId5"/>
    <sheet name="AXA IM Acquisition" sheetId="6" r:id="rId6"/>
    <sheet name="Capital Returns" sheetId="7" r:id="rId7"/>
    <sheet name="Valuation" sheetId="8" r:id="rId8"/>
    <sheet name="Peer Comparison" sheetId="9" r:id="rId9"/>
    <sheet name="Risk Matrix" sheetId="10" r:id="rId10"/>
    <sheet name="Investment Verdict" sheetId="11" r:id="rId1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3" i="9" l="1"/>
  <c r="H13" i="9"/>
  <c r="G13" i="9"/>
  <c r="F13" i="9"/>
  <c r="E13" i="9"/>
  <c r="H5" i="9"/>
  <c r="F5" i="9"/>
  <c r="F14" i="9" s="1"/>
  <c r="E5" i="9"/>
  <c r="E14" i="9" s="1"/>
  <c r="C5" i="9"/>
  <c r="F34" i="8"/>
  <c r="F35" i="8" s="1"/>
  <c r="D34" i="8"/>
  <c r="F33" i="8"/>
  <c r="F32" i="8"/>
  <c r="F31" i="8"/>
  <c r="E26" i="8"/>
  <c r="E27" i="8" s="1"/>
  <c r="C26" i="8"/>
  <c r="C27" i="8" s="1"/>
  <c r="E25" i="8"/>
  <c r="D25" i="8"/>
  <c r="C25" i="8"/>
  <c r="E24" i="8"/>
  <c r="C24" i="8"/>
  <c r="F23" i="8"/>
  <c r="E23" i="8"/>
  <c r="D23" i="8"/>
  <c r="C23" i="8"/>
  <c r="C17" i="8"/>
  <c r="H9" i="8"/>
  <c r="H12" i="8" s="1"/>
  <c r="G9" i="8"/>
  <c r="G12" i="8" s="1"/>
  <c r="F9" i="8"/>
  <c r="F12" i="8" s="1"/>
  <c r="D8" i="8"/>
  <c r="C7" i="8"/>
  <c r="C8" i="8" s="1"/>
  <c r="D6" i="8"/>
  <c r="E6" i="8" s="1"/>
  <c r="C6" i="8"/>
  <c r="C22" i="7"/>
  <c r="C21" i="7"/>
  <c r="C23" i="7" s="1"/>
  <c r="E13" i="7"/>
  <c r="D13" i="7"/>
  <c r="D14" i="7" s="1"/>
  <c r="C13" i="7"/>
  <c r="C14" i="7" s="1"/>
  <c r="D9" i="7"/>
  <c r="C9" i="7"/>
  <c r="C10" i="7" s="1"/>
  <c r="D7" i="7"/>
  <c r="C7" i="7"/>
  <c r="D5" i="7"/>
  <c r="D17" i="7" s="1"/>
  <c r="D18" i="7" s="1"/>
  <c r="C5" i="7"/>
  <c r="C17" i="7" s="1"/>
  <c r="C18" i="7" s="1"/>
  <c r="G18" i="6"/>
  <c r="F18" i="6"/>
  <c r="E18" i="6"/>
  <c r="D18" i="6"/>
  <c r="G15" i="6"/>
  <c r="F15" i="6"/>
  <c r="E15" i="6"/>
  <c r="D15" i="6"/>
  <c r="G12" i="6"/>
  <c r="G19" i="6" s="1"/>
  <c r="G20" i="6" s="1"/>
  <c r="F12" i="6"/>
  <c r="F19" i="6" s="1"/>
  <c r="F20" i="6" s="1"/>
  <c r="E12" i="6"/>
  <c r="E19" i="6" s="1"/>
  <c r="E20" i="6" s="1"/>
  <c r="D12" i="6"/>
  <c r="D19" i="6" s="1"/>
  <c r="D20" i="6" s="1"/>
  <c r="C30" i="5"/>
  <c r="F24" i="5"/>
  <c r="E24" i="5"/>
  <c r="F23" i="5"/>
  <c r="E23" i="5"/>
  <c r="F22" i="5"/>
  <c r="E22" i="5"/>
  <c r="F21" i="5"/>
  <c r="E21" i="5"/>
  <c r="F20" i="5"/>
  <c r="E20" i="5"/>
  <c r="F19" i="5"/>
  <c r="E19" i="5"/>
  <c r="F18" i="5"/>
  <c r="E18" i="5"/>
  <c r="F17" i="5"/>
  <c r="E17" i="5"/>
  <c r="C14" i="5"/>
  <c r="E14" i="5" s="1"/>
  <c r="C13" i="5"/>
  <c r="E13" i="5" s="1"/>
  <c r="F12" i="5"/>
  <c r="C12" i="5"/>
  <c r="E12" i="5" s="1"/>
  <c r="F11" i="5"/>
  <c r="E11" i="5"/>
  <c r="F10" i="5"/>
  <c r="E10" i="5"/>
  <c r="D9" i="5"/>
  <c r="C9" i="5"/>
  <c r="F9" i="5" s="1"/>
  <c r="F7" i="5"/>
  <c r="E7" i="5"/>
  <c r="E6" i="5"/>
  <c r="C6" i="5"/>
  <c r="F6" i="5" s="1"/>
  <c r="F8" i="5" s="1"/>
  <c r="F31" i="4"/>
  <c r="E31" i="4"/>
  <c r="D31" i="4"/>
  <c r="C31" i="4"/>
  <c r="G30" i="4"/>
  <c r="F30" i="4"/>
  <c r="E30" i="4"/>
  <c r="D30" i="4"/>
  <c r="C30" i="4"/>
  <c r="F23" i="4"/>
  <c r="F24" i="4" s="1"/>
  <c r="E23" i="4"/>
  <c r="E24" i="4" s="1"/>
  <c r="D23" i="4"/>
  <c r="D24" i="4" s="1"/>
  <c r="C23" i="4"/>
  <c r="C24" i="4" s="1"/>
  <c r="G22" i="4"/>
  <c r="F21" i="4"/>
  <c r="E21" i="4"/>
  <c r="D21" i="4"/>
  <c r="C21" i="4"/>
  <c r="G20" i="4"/>
  <c r="G21" i="4" s="1"/>
  <c r="G19" i="4"/>
  <c r="G16" i="4"/>
  <c r="F16" i="4"/>
  <c r="E16" i="4"/>
  <c r="D16" i="4"/>
  <c r="G15" i="4"/>
  <c r="F9" i="7" s="1"/>
  <c r="F13" i="7" s="1"/>
  <c r="F14" i="7" s="1"/>
  <c r="F11" i="4"/>
  <c r="F14" i="4" s="1"/>
  <c r="E11" i="4"/>
  <c r="E14" i="4" s="1"/>
  <c r="D11" i="4"/>
  <c r="D14" i="4" s="1"/>
  <c r="C11" i="4"/>
  <c r="C14" i="4" s="1"/>
  <c r="G9" i="4"/>
  <c r="F9" i="4"/>
  <c r="E9" i="4"/>
  <c r="D9" i="4"/>
  <c r="C9" i="4"/>
  <c r="F7" i="4"/>
  <c r="E7" i="4"/>
  <c r="D7" i="4"/>
  <c r="G6" i="4"/>
  <c r="G11" i="4" s="1"/>
  <c r="G14" i="4" s="1"/>
  <c r="C67" i="3"/>
  <c r="C56" i="3"/>
  <c r="C52" i="3"/>
  <c r="B13" i="11" s="1"/>
  <c r="C50" i="3"/>
  <c r="B9" i="11" s="1"/>
  <c r="C45" i="3"/>
  <c r="D24" i="8" s="1"/>
  <c r="C41" i="3"/>
  <c r="C34" i="3"/>
  <c r="F5" i="7" s="1"/>
  <c r="C32" i="3"/>
  <c r="C29" i="3"/>
  <c r="C14" i="3"/>
  <c r="C16" i="3" s="1"/>
  <c r="C57" i="3" s="1"/>
  <c r="C58" i="3" s="1"/>
  <c r="C9" i="3"/>
  <c r="E9" i="8" s="1"/>
  <c r="E12" i="8" s="1"/>
  <c r="C33" i="2"/>
  <c r="C18" i="2"/>
  <c r="C14" i="1" s="1"/>
  <c r="C17" i="2"/>
  <c r="C15" i="2"/>
  <c r="I5" i="9" s="1"/>
  <c r="C11" i="2"/>
  <c r="C7" i="2"/>
  <c r="D5" i="9" s="1"/>
  <c r="C16" i="1"/>
  <c r="C13" i="1"/>
  <c r="C12" i="1"/>
  <c r="C11" i="1"/>
  <c r="F17" i="7" l="1"/>
  <c r="F18" i="7" s="1"/>
  <c r="F10" i="7"/>
  <c r="F7" i="7"/>
  <c r="F6" i="8"/>
  <c r="E8" i="8"/>
  <c r="E10" i="8" s="1"/>
  <c r="E13" i="8" s="1"/>
  <c r="C10" i="8"/>
  <c r="C13" i="8" s="1"/>
  <c r="C53" i="3"/>
  <c r="C17" i="3"/>
  <c r="G7" i="4"/>
  <c r="G31" i="4"/>
  <c r="E9" i="7"/>
  <c r="E14" i="7" s="1"/>
  <c r="C51" i="3"/>
  <c r="E9" i="5"/>
  <c r="C15" i="1"/>
  <c r="C21" i="3"/>
  <c r="C23" i="3" s="1"/>
  <c r="E5" i="7"/>
  <c r="F6" i="7" s="1"/>
  <c r="C70" i="3"/>
  <c r="C9" i="8"/>
  <c r="C12" i="8" s="1"/>
  <c r="D6" i="7"/>
  <c r="D10" i="7"/>
  <c r="D9" i="8"/>
  <c r="D12" i="8" s="1"/>
  <c r="G5" i="9"/>
  <c r="G14" i="9" s="1"/>
  <c r="B7" i="11"/>
  <c r="G23" i="4"/>
  <c r="G24" i="4" s="1"/>
  <c r="C68" i="3" l="1"/>
  <c r="F26" i="8"/>
  <c r="F27" i="8" s="1"/>
  <c r="E17" i="7"/>
  <c r="E18" i="7" s="1"/>
  <c r="E10" i="7"/>
  <c r="E6" i="7"/>
  <c r="E7" i="7"/>
  <c r="D10" i="8"/>
  <c r="D13" i="8" s="1"/>
  <c r="G6" i="8"/>
  <c r="F8" i="8"/>
  <c r="F10" i="8" s="1"/>
  <c r="F13" i="8" s="1"/>
  <c r="D26" i="8"/>
  <c r="D27" i="8" s="1"/>
  <c r="H6" i="8" l="1"/>
  <c r="H8" i="8" s="1"/>
  <c r="H10" i="8" s="1"/>
  <c r="G8" i="8"/>
  <c r="G10" i="8" s="1"/>
  <c r="G13" i="8" s="1"/>
  <c r="C69" i="3"/>
  <c r="C20" i="1"/>
  <c r="C38" i="8"/>
  <c r="C19" i="1"/>
  <c r="C18" i="1"/>
  <c r="C39" i="8" l="1"/>
  <c r="C71" i="3"/>
  <c r="B11" i="11"/>
  <c r="H15" i="8"/>
  <c r="C16" i="8" s="1"/>
  <c r="H13" i="8"/>
  <c r="C14" i="8" s="1"/>
  <c r="C18" i="8" s="1"/>
  <c r="C19" i="8" s="1"/>
  <c r="C40" i="8" l="1"/>
  <c r="B4" i="11"/>
</calcChain>
</file>

<file path=xl/sharedStrings.xml><?xml version="1.0" encoding="utf-8"?>
<sst xmlns="http://schemas.openxmlformats.org/spreadsheetml/2006/main" count="737" uniqueCount="521">
  <si>
    <t>EQUITY RESEARCH REPORT</t>
  </si>
  <si>
    <t>BNP PARIBAS SA</t>
  </si>
  <si>
    <t>EPA: BNP  |  European Financials  |  May 2026</t>
  </si>
  <si>
    <t>Europe's Largest Bank Trades at a 32% Discount to Peers</t>
  </si>
  <si>
    <t>Analyst</t>
  </si>
  <si>
    <t>Romanos Valeontis</t>
  </si>
  <si>
    <t>Date</t>
  </si>
  <si>
    <t>22 May 2026</t>
  </si>
  <si>
    <t>Version</t>
  </si>
  <si>
    <t>v2.0 — Formula-driven (CFI standard)</t>
  </si>
  <si>
    <t>Ticker</t>
  </si>
  <si>
    <t>EPA: BNP  |  EURONEXT PARIS</t>
  </si>
  <si>
    <t>Share Price</t>
  </si>
  <si>
    <t>Market Cap (€bn)</t>
  </si>
  <si>
    <t>P/E (trailing)</t>
  </si>
  <si>
    <t>P/TBV</t>
  </si>
  <si>
    <t>Dividend Yield</t>
  </si>
  <si>
    <t>CET1 ratio</t>
  </si>
  <si>
    <t>RECOMMENDATION</t>
  </si>
  <si>
    <t>BUY</t>
  </si>
  <si>
    <t>12-Month Target</t>
  </si>
  <si>
    <t>Upside to Target</t>
  </si>
  <si>
    <t>Total Return (12M)</t>
  </si>
  <si>
    <t>YTD Performance</t>
  </si>
  <si>
    <t>+13.81% vs SX7P +0.68%</t>
  </si>
  <si>
    <t>Key Catalyst</t>
  </si>
  <si>
    <t>CET1 reaches 13% by YE2026 → unlocks excess capital distribution Feb 2027</t>
  </si>
  <si>
    <t>Key Risk</t>
  </si>
  <si>
    <t>French sovereign spread widening + AXA IM execution</t>
  </si>
  <si>
    <t>MODEL STRUCTURE (CFI standard): Single source of truth principle applied. All raw inputs are entered ONCE on the Assumptions or Live Market Data sheets — these are colour-coded BLUE. All calculated cells use formulas (BLACK font). Cross-sheet references use TEAL/GREEN font. To stress-test the model, change inputs in the Assumptions sheet only — everything recalculates automatically. This Cover sheet pulls all key metrics from Live Market Data via cross-sheet links.</t>
  </si>
  <si>
    <t>DISCLAIMER: For portfolio/educational purposes. Not investment advice. Data from public filings and live market data, May 2026.</t>
  </si>
  <si>
    <t>LIVE MARKET DATA  |  Single Source of Truth  |  BNP Paribas SA  |  As of 22 May 2026</t>
  </si>
  <si>
    <t>DATA INTEGRITY: All market data on this sheet is the SOURCE OF TRUTH for the model. BLUE values = hard-coded inputs (pulled live from Bloomberg/Google Finance/BNP IR on 22 May 2026). All other sheets reference these cells. To update prices, only edit BLUE cells here. Sources tagged per row. Confidence: LIVE (intraday market feed) / CONFIRMED (Q1 2026 primary filings, 30 Apr 2026) / ESTIMATED.</t>
  </si>
  <si>
    <t>Metric</t>
  </si>
  <si>
    <t>Value</t>
  </si>
  <si>
    <t>Format</t>
  </si>
  <si>
    <t>Source</t>
  </si>
  <si>
    <t>Notes</t>
  </si>
  <si>
    <t>PRICING &amp; MARKET CAP (LIVE)</t>
  </si>
  <si>
    <t>Share Price (EPA: BNP) — closing 21 May 2026</t>
  </si>
  <si>
    <t>EUR/share</t>
  </si>
  <si>
    <t>Google Finance / LIVE</t>
  </si>
  <si>
    <t>Intraday range €87.68–€89.72. PRIMARY INPUT — entire model derives from this cell.</t>
  </si>
  <si>
    <t>Shares Outstanding (millions)</t>
  </si>
  <si>
    <t>millions</t>
  </si>
  <si>
    <t>BNP IR (post-buyback) / CONFIRMED</t>
  </si>
  <si>
    <t>Confirmed from BNP Q1 2026 disclosures. Post Dec 2025 buyback cancellation.</t>
  </si>
  <si>
    <t>Market Capitalisation (€m)</t>
  </si>
  <si>
    <t>€m</t>
  </si>
  <si>
    <t>FORMULA = C5×C6</t>
  </si>
  <si>
    <t>Derived: share price × shares outstanding. Approx €98.1bn.</t>
  </si>
  <si>
    <t>VALUATION MULTIPLES (LIVE / DERIVED)</t>
  </si>
  <si>
    <t>P/E Ratio (Trailing TTM)</t>
  </si>
  <si>
    <t>× earnings</t>
  </si>
  <si>
    <t>TTM EPS €10.60. 32% discount to European bank sector median.</t>
  </si>
  <si>
    <t>Implied EPS TTM (€)</t>
  </si>
  <si>
    <t>€/share</t>
  </si>
  <si>
    <t>FORMULA = C5/C10</t>
  </si>
  <si>
    <t>Cross-check: should equal €10.60 (Google Finance TTM EPS).</t>
  </si>
  <si>
    <t>P/E Forward (FY2026E, consensus)</t>
  </si>
  <si>
    <t>× FY26 EPS</t>
  </si>
  <si>
    <t>Stockopedia / LIVE</t>
  </si>
  <si>
    <t>Consensus EPS FY26: €11.74. Implies further re-rating possible.</t>
  </si>
  <si>
    <t>Book Value per Share (Q1 2026)</t>
  </si>
  <si>
    <t>BNP Q1 2026 Appendices / CONFIRMED</t>
  </si>
  <si>
    <t>Slide 63 of Q1 2026 Appendices document (published 30 Apr 2026).</t>
  </si>
  <si>
    <t>Tangible Book Value per Share (Q1 2026)</t>
  </si>
  <si>
    <t>Excludes goodwill/intangibles €11,884m. PRIMARY VALUATION ANCHOR.</t>
  </si>
  <si>
    <t>Dividend Yield (FY2025 DPS / Price)</t>
  </si>
  <si>
    <t>%</t>
  </si>
  <si>
    <t>FORMULA = C16/C5</t>
  </si>
  <si>
    <t>Total FY25 DPS €5.16 / current price. Highest yield among major EU banks.</t>
  </si>
  <si>
    <t>FY2025 Total DPS (€)</t>
  </si>
  <si>
    <t>BNP FY2025 / CONFIRMED</t>
  </si>
  <si>
    <t>€2.59 interim Sep 2025 + €2.57 final paid 20 May 2026. +7.7% vs FY24.</t>
  </si>
  <si>
    <t>Price / Book Value (P/B)</t>
  </si>
  <si>
    <t>× book</t>
  </si>
  <si>
    <t>FORMULA = C5/C13</t>
  </si>
  <si>
    <t>Trading below book value — value signal.</t>
  </si>
  <si>
    <t>Price / Tangible Book (P/TBV) ★</t>
  </si>
  <si>
    <t>× TBV</t>
  </si>
  <si>
    <t>FORMULA = C5/C14</t>
  </si>
  <si>
    <t>★ KEY METRIC. Below 1.0x despite 12.8% Q1 RoTE = mispricing.</t>
  </si>
  <si>
    <t>52-Week Range</t>
  </si>
  <si>
    <t>€65.12 – €97.35</t>
  </si>
  <si>
    <t>EUR</t>
  </si>
  <si>
    <t>CNBC / LIVE</t>
  </si>
  <si>
    <t>Low 6 Nov 2025; High 27 Feb 2026. Currently at 91.6% of 52w high.</t>
  </si>
  <si>
    <t>Q1 2026 KEY METRICS (CONFIRMED — 30 Apr 2026 PR)</t>
  </si>
  <si>
    <t>CET1 Ratio (Q1 2026)</t>
  </si>
  <si>
    <t>BNP Q1 2026 PR / CONFIRMED</t>
  </si>
  <si>
    <t>+20bps QoQ from 12.6% YE2025. CEO: 'can reach 13% by year end'.</t>
  </si>
  <si>
    <t>Q1 2026 Net Income (€m, Group share)</t>
  </si>
  <si>
    <t>Record Q1. +9.0% vs Q1 2025 (€2,951m).</t>
  </si>
  <si>
    <t>Q1 2026 Revenue / NBI (€m)</t>
  </si>
  <si>
    <t>+8.5% vs Q1 2025. Record. AXA IM full consolidation.</t>
  </si>
  <si>
    <t>Q1 2026 RoTE (annualised)</t>
  </si>
  <si>
    <t>Already above 12% full-year target. Strong start to 2026.</t>
  </si>
  <si>
    <t>FY2025 KEY FINANCIALS (CONFIRMED — 5 Feb 2026 PR)</t>
  </si>
  <si>
    <t>FY2025 Net Income (€m, Group share)</t>
  </si>
  <si>
    <t>BNP FY2025 PR / CONFIRMED</t>
  </si>
  <si>
    <t>+4.6% vs FY2024. Target was &gt;€12.2bn — met.</t>
  </si>
  <si>
    <t>FY2025 Revenue / NBI (€m)</t>
  </si>
  <si>
    <t>+4.9% vs FY2024 (€48,831m).</t>
  </si>
  <si>
    <t>FY2025 EPS (€)</t>
  </si>
  <si>
    <t>+7.5% vs FY2024 EPS €9.57.</t>
  </si>
  <si>
    <t>FY2025 RoTE</t>
  </si>
  <si>
    <t>Target was 11.5% — beaten.</t>
  </si>
  <si>
    <t>ANALYST CONSENSUS (LIVE — 22 May 2026)</t>
  </si>
  <si>
    <t>Consensus Buy / Hold / Sell (19 analysts)</t>
  </si>
  <si>
    <t>14 / 4 / 1</t>
  </si>
  <si>
    <t>count</t>
  </si>
  <si>
    <t>Investing.com / LIVE</t>
  </si>
  <si>
    <t>73.7% Buy ratings. Moderate Buy consensus.</t>
  </si>
  <si>
    <t>Consensus 12-Month Target (Avg)</t>
  </si>
  <si>
    <t>Investing.com (19) / LIVE</t>
  </si>
  <si>
    <t>Range: €87 (low) to €111 (UBS high). Median €101.51 (MarketScreener).</t>
  </si>
  <si>
    <t>Consensus Upside (Target / Price - 1)</t>
  </si>
  <si>
    <t>FORMULA = C32/C5-1</t>
  </si>
  <si>
    <t>Derived: consensus target ÷ current price minus 1.</t>
  </si>
  <si>
    <t>UBS Price Target (Buy)</t>
  </si>
  <si>
    <t>UBS Napier / LIVE</t>
  </si>
  <si>
    <t>Raised 10 Apr 2026 from €109. Originally upgraded Jan 2026 (€103).</t>
  </si>
  <si>
    <t>ASSUMPTIONS  |  BNP Paribas SA  |  Source of Truth for WACC, Targets &amp; Forecasts</t>
  </si>
  <si>
    <t>ASSUMPTIONS ARE THE SECOND SOURCE OF TRUTH. All forward-looking inputs (CoE, growth rates, scenario probabilities, target multiples) are defined here ONCE and referenced by Valuation and Verdict sheets. BLUE = hard-coded inputs. BLACK = formulas. To stress-test: change BLUE cells; all downstream values recalculate.</t>
  </si>
  <si>
    <t>Assumption</t>
  </si>
  <si>
    <t>Unit</t>
  </si>
  <si>
    <t>Source / Rationale</t>
  </si>
  <si>
    <t>Confidence</t>
  </si>
  <si>
    <t>COST OF EQUITY (CoE) — BOTTOM-UP BUILD</t>
  </si>
  <si>
    <t>French 10Y OAT yield (Risk-Free Rate)</t>
  </si>
  <si>
    <t>% annual</t>
  </si>
  <si>
    <t>French 10Y OAT yield ~3.3% in May 2026. OAT-Bund spread ~86bps; Bund ~2.4%.</t>
  </si>
  <si>
    <t>HIGH</t>
  </si>
  <si>
    <t>Equity Risk Premium (France)</t>
  </si>
  <si>
    <t>Damodaran Jan 2026 France ERP estimate.</t>
  </si>
  <si>
    <t>Beta (β) — BNP vs European banks</t>
  </si>
  <si>
    <t>—</t>
  </si>
  <si>
    <t>European large-cap bank beta ~1.0. BNP at sector average.</t>
  </si>
  <si>
    <t>MEDIUM</t>
  </si>
  <si>
    <t>French Political Risk Premium (add-on)</t>
  </si>
  <si>
    <t>Explicit add-on for French sovereign risk overhang not captured in beta.</t>
  </si>
  <si>
    <t>Cost of Equity [Ke = Rf + β × ERP + FRP]</t>
  </si>
  <si>
    <t>FORMULA = C5 + C7×C6 + C8 = 3.30% + 1.00×5.50% + 0.50% = 9.30%</t>
  </si>
  <si>
    <t>DERIVED</t>
  </si>
  <si>
    <t>SUSTAINABLE RETURNS &amp; TANGIBLE BOOK</t>
  </si>
  <si>
    <t>Sustainable RoTE — FY2026E target</t>
  </si>
  <si>
    <t>% TBV</t>
  </si>
  <si>
    <t>BNP 2026 RoTE target: 12%. Q1 2026 already at 12.8%.</t>
  </si>
  <si>
    <t>Sustainable RoTE — FY2028E target</t>
  </si>
  <si>
    <t>BNP 2028 target: &gt;13%. Conservative central case for synergy and recovery.</t>
  </si>
  <si>
    <t>Current Tangible Book Value / Share (€)</t>
  </si>
  <si>
    <t>LINK to Live Market Data!C14 (€96.6 from BNP Q1 2026 Appendices).</t>
  </si>
  <si>
    <t>LINKED</t>
  </si>
  <si>
    <t>TBV Growth Rate (CAGR 2026-2028)</t>
  </si>
  <si>
    <t>% CAGR</t>
  </si>
  <si>
    <t>Retained earnings (40% retention) drive TBV growth.</t>
  </si>
  <si>
    <t>TBV per Share — FY2026E</t>
  </si>
  <si>
    <t>FORMULA = C14 × (1 + C15)</t>
  </si>
  <si>
    <t>TBV per Share — FY2028E (compounded 3yr)</t>
  </si>
  <si>
    <t>FORMULA = C14 × (1 + C15)^3</t>
  </si>
  <si>
    <t>TARGET MULTIPLE &amp; VALUATION DRIVERS</t>
  </si>
  <si>
    <t>Long-term Terminal Growth Rate (g)</t>
  </si>
  <si>
    <t>Long-term nominal GDP growth for Eurozone. Conservative.</t>
  </si>
  <si>
    <t>Theoretical Fair P/TBV [(RoTE - g) / (CoE - g)]</t>
  </si>
  <si>
    <t>FORMULA Gordon Growth = (Sustainable RoTE - g) / (CoE - g) = (13.5%-3.5%)/(9.3%-3.5%) = 1.72×</t>
  </si>
  <si>
    <t>French Sovereign Discount Applied</t>
  </si>
  <si>
    <t>Discount applied to theoretical P/TBV for French political risk overhang.</t>
  </si>
  <si>
    <t>Effective Target P/TBV (after French discount)</t>
  </si>
  <si>
    <t>FORMULA = C21 × (1 - C22) = 1.72 × 70% = 1.20×</t>
  </si>
  <si>
    <t>CAPITAL RETURNS POLICY</t>
  </si>
  <si>
    <t>CET1 Target (YE2026E)</t>
  </si>
  <si>
    <t>CEO Q1 2026: 'we could reach 13% by year end'.</t>
  </si>
  <si>
    <t>Payout Ratio (2026 onwards)</t>
  </si>
  <si>
    <t>% of NI</t>
  </si>
  <si>
    <t>BNP confirmed: 60% (50% dividend + 10% buyback).</t>
  </si>
  <si>
    <t>Dividend Payout (of total payout)</t>
  </si>
  <si>
    <t>Minimum 50% dividend payout component.</t>
  </si>
  <si>
    <t>Share Buyback (% of NI)</t>
  </si>
  <si>
    <t>FORMULA = Total payout (C27) - Dividend (C28) = 10%</t>
  </si>
  <si>
    <t>EARNINGS FORECAST</t>
  </si>
  <si>
    <t>FY2025 EPS (€) — actual</t>
  </si>
  <si>
    <t>LINK to Live Market Data!C28 (€10.29 actual FY2025).</t>
  </si>
  <si>
    <t>Net Income CAGR (2025-2028 target)</t>
  </si>
  <si>
    <t>BNP raised target Feb 2026: net income CAGR &gt;10% (2025-2028).</t>
  </si>
  <si>
    <t>FY2026E EPS (€)</t>
  </si>
  <si>
    <t>FORMULA = FY25 EPS (C32) × (1 + CAGR C33) = €10.29 × 1.10 = €11.32</t>
  </si>
  <si>
    <t>Consensus FY2026E EPS (€)</t>
  </si>
  <si>
    <t>Stockopedia consensus. Implies sell-side ahead of 10% CAGR guidance.</t>
  </si>
  <si>
    <t>SCENARIO PROBABILITIES</t>
  </si>
  <si>
    <t>Bull Case Probability</t>
  </si>
  <si>
    <t>% probability</t>
  </si>
  <si>
    <t>French discount narrows + CET1 reaches 13% by Q3 2026.</t>
  </si>
  <si>
    <t>Base Case Probability</t>
  </si>
  <si>
    <t>Most likely scenario. Steady re-rating, AXA IM on plan.</t>
  </si>
  <si>
    <t>Bear Case Probability</t>
  </si>
  <si>
    <t>French crisis + AXA IM failure simultaneously. Low probability.</t>
  </si>
  <si>
    <t>Probability Sum (must = 100%)</t>
  </si>
  <si>
    <t>FORMULA = Bull + Base + Bear = 100% ✓ (integrity check)</t>
  </si>
  <si>
    <t>CHECK</t>
  </si>
  <si>
    <t>SCENARIO P/E MULTIPLES (Forward FY2026E)</t>
  </si>
  <si>
    <t>Bull Case P/E (re-rating to sector median)</t>
  </si>
  <si>
    <t>× EPS</t>
  </si>
  <si>
    <t>European bank sector median P/E ~9-10×. Bull case = full re-rating.</t>
  </si>
  <si>
    <t>Base Case P/E (current forward — no rerating)</t>
  </si>
  <si>
    <t>LINK to Live Market Data!C12. Base case assumes current forward P/E holds.</t>
  </si>
  <si>
    <t>Bear Case P/E (stress)</t>
  </si>
  <si>
    <t>Severe stress P/E — 2011 eurozone crisis trough.</t>
  </si>
  <si>
    <t>LOW</t>
  </si>
  <si>
    <t>Bear Case EPS (stressed)</t>
  </si>
  <si>
    <t>Stressed EPS — assumes guidance miss + macro deterioration.</t>
  </si>
  <si>
    <t>SCENARIO IMPLIED PRICES (P/E METHOD)</t>
  </si>
  <si>
    <t>Bull Case Implied Price</t>
  </si>
  <si>
    <t>FORMULA = Bull P/E (C44) × Consensus FY26E EPS (C35) = 9.5× × €11.74 = €111.53</t>
  </si>
  <si>
    <t>Base Case Implied Price</t>
  </si>
  <si>
    <t>FORMULA = Base P/E (C45) × Consensus FY26E EPS (C35) = 7.6× × €11.74 = €89.22</t>
  </si>
  <si>
    <t>Bear Case Implied Price</t>
  </si>
  <si>
    <t>FORMULA = Bear P/E (C46) × Bear EPS (C47) = 5.0× × €10.50 = €52.50</t>
  </si>
  <si>
    <t>Probability-Weighted Price (P/E method)</t>
  </si>
  <si>
    <t>FORMULA = Bull×P(bull) + Base×P(base) + Bear×P(bear). Weighted P/E target.</t>
  </si>
  <si>
    <t>EXCESS RETURNS DDM TARGET (Bank Valuation Method)</t>
  </si>
  <si>
    <t>LT Sustainable RoTE (LINK to row 13)</t>
  </si>
  <si>
    <t>LINK to C13 (FY2028E sustainable RoTE). Internally consistent.</t>
  </si>
  <si>
    <t>FY2026E TBV per Share (LINK to row 16)</t>
  </si>
  <si>
    <t>LINK to row 16. Year-1 TBV used in excess returns calculation.</t>
  </si>
  <si>
    <t>Excess Returns DDM Target Price</t>
  </si>
  <si>
    <t>FORMULA = TBV × ((RoTE-g)/(CoE-g)) × (1 - French Discount). Apply full discount to DDM (consistent with P/E method).</t>
  </si>
  <si>
    <t>SUM OF PARTS — VALUATION FLOOR</t>
  </si>
  <si>
    <t>Sum of Parts Implied Price (mid-range)</t>
  </si>
  <si>
    <t>SOP range €84-105/share (see Valuation sheet). Mid-point €95. CIB 1.8x NBI + CPBS 1.4x NBI + IPS+AM 3.0x NBI.</t>
  </si>
  <si>
    <t>ESTIMATED</t>
  </si>
  <si>
    <t>★ FINAL 12-MONTH TARGET PRICE ★</t>
  </si>
  <si>
    <t>Weight: P/E Method</t>
  </si>
  <si>
    <t>% weight</t>
  </si>
  <si>
    <t>Most market-relevant for European bank valuation today.</t>
  </si>
  <si>
    <t>Weight: Excess Returns DDM</t>
  </si>
  <si>
    <t>Theoretical anchor. Cleanest for bank valuation.</t>
  </si>
  <si>
    <t>Weight: Sum of Parts</t>
  </si>
  <si>
    <t>Supportive but conservative — used as floor estimate.</t>
  </si>
  <si>
    <t>Weight Sum (must = 100%)</t>
  </si>
  <si>
    <t>FORMULA. Integrity check.</t>
  </si>
  <si>
    <t>★ 12-MONTH PRICE TARGET ★</t>
  </si>
  <si>
    <t>FORMULA = P/E target × 40% + DDM target × 40% + SOP target × 20%. Weighted blend of 3 methods.</t>
  </si>
  <si>
    <t>Upside to Target Price</t>
  </si>
  <si>
    <t>FORMULA = Target / Current Price - 1. CROSS-SHEET LINK to Live Market Data!C5.</t>
  </si>
  <si>
    <t>Dividend Yield (LINK to Live Market Data)</t>
  </si>
  <si>
    <t>LINK to Live Market Data!C15.</t>
  </si>
  <si>
    <t>★ TOTAL RETURN (Price + Dividend) ★</t>
  </si>
  <si>
    <t>FORMULA = Upside (C69) + Dividend Yield (C70). 12-month total return.</t>
  </si>
  <si>
    <t>HISTORICAL FINANCIALS  |  BNP Paribas SA  |  FY2021–FY2025  |  Inputs (BLUE) &amp; Derived (BLACK)</t>
  </si>
  <si>
    <t>DATA SOURCING: NBI, Op Expenses, Net Income, EPS, DPS, CET1 are RAW INPUTS (BLUE). Cost/Income ratio, Gross Operating Income, NBI growth, Net Income growth, RoTE vs CoE spread are FORMULAS (BLACK). FY2024 and FY2025 LINK to Live Market Data sheet where applicable. FY2021-FY2023 from BNP press releases (MEDIUM confidence — pre-IFRS17 restatements). All raw numbers entered ONCE here; downstream sheets reference these cells.</t>
  </si>
  <si>
    <t>Metric (€m)</t>
  </si>
  <si>
    <t>FY2021</t>
  </si>
  <si>
    <t>FY2022</t>
  </si>
  <si>
    <t>FY2023</t>
  </si>
  <si>
    <t>FY2024</t>
  </si>
  <si>
    <t>FY2025</t>
  </si>
  <si>
    <t>INCOME STATEMENT — BANK METRICS</t>
  </si>
  <si>
    <t>Net Banking Income (NBI / Revenue)</t>
  </si>
  <si>
    <t xml:space="preserve">  NBI Growth (YoY)</t>
  </si>
  <si>
    <t>Operating Expenses</t>
  </si>
  <si>
    <t xml:space="preserve">  Cost / Income Ratio ★</t>
  </si>
  <si>
    <t>Gross Operating Income (Pre-Provision Profit)</t>
  </si>
  <si>
    <t>Cost of Risk (€m)</t>
  </si>
  <si>
    <t xml:space="preserve">  Cost of Risk (bps) ★</t>
  </si>
  <si>
    <t>Operating Income</t>
  </si>
  <si>
    <t>Net Income (Group share)</t>
  </si>
  <si>
    <t xml:space="preserve">  Net Income Growth (YoY)</t>
  </si>
  <si>
    <t>PER SHARE &amp; RETURNS</t>
  </si>
  <si>
    <t>Earnings Per Share (EPS, €)</t>
  </si>
  <si>
    <t>Dividend Per Share (DPS, €)</t>
  </si>
  <si>
    <t xml:space="preserve">  Payout Ratio (DPS / EPS)</t>
  </si>
  <si>
    <t>Return on Tangible Equity (RoTE) ★</t>
  </si>
  <si>
    <t>Cost of Equity (LINK to Assumptions!C9)</t>
  </si>
  <si>
    <t xml:space="preserve">  RoTE vs CoE Spread (Value Creation)</t>
  </si>
  <si>
    <t>CAPITAL &amp; BALANCE SHEET</t>
  </si>
  <si>
    <t>CET1 Ratio ★</t>
  </si>
  <si>
    <t>Total Assets (€bn)</t>
  </si>
  <si>
    <t>Share Buybacks (€m)</t>
  </si>
  <si>
    <t xml:space="preserve">  Buyback as % of Net Income</t>
  </si>
  <si>
    <t xml:space="preserve">  Total Payout (Div + SBB) % of NI</t>
  </si>
  <si>
    <t>FORMULA AUDIT TRAIL: Row 7 (NBI Growth) = current year / prior year - 1. Row 9 (Cost/Income) = |Operating Expenses| / NBI. Row 11 (Gross Operating Income) = NBI + Operating Expenses (negative). Row 14 (Operating Income) = Gross Operating Income + Cost of Risk (negative). Row 16 (Net Income Growth) = current / prior - 1. Row 21 (Payout Ratio) = DPS / EPS. Row 23 (Cost of Equity) = LINK to Assumptions!C9. Row 24 (RoTE - CoE Spread) = Row 22 - Row 23. Row 30 (Buyback % NI) = Buybacks / Net Income. Row 31 (Total Payout % NI) = Payout Ratio + Buyback % NI. EVERY derived metric uses a formula tied to inputs above.</t>
  </si>
  <si>
    <t>Q1 2026 DEEP DIVE  |  BNP Paribas SA  |  30 April 2026  |  Record Quarter</t>
  </si>
  <si>
    <t>INPUT vs DERIVED: Q1 2026 and Q1 2025 absolute numbers are INPUTS (BLUE). YoY % change, jaws effect, and ratios are FORMULAS (BLACK). Q1 2026 totals (Revenue, Net Income, RoTE, CET1) LINK to Live Market Data sheet (single source of truth). If management updates a figure, only the Live Market Data cell needs to change.</t>
  </si>
  <si>
    <t>Q1 2026</t>
  </si>
  <si>
    <t>Q1 2025</t>
  </si>
  <si>
    <t>Change (€m)</t>
  </si>
  <si>
    <t>Change (%)</t>
  </si>
  <si>
    <t>Commentary</t>
  </si>
  <si>
    <t>GROUP P&amp;L (€m unless stated)</t>
  </si>
  <si>
    <t>Record quarter. AXA IM scope effect in IPS.</t>
  </si>
  <si>
    <t>AXA IM integration costs front-loaded. Underlying +2.0% csr.</t>
  </si>
  <si>
    <t xml:space="preserve">  Jaws Effect (NBI growth - OpEx growth)</t>
  </si>
  <si>
    <t>Positive jaws = revenues outgrowing costs. Group +3pts. Excellent operating leverage.</t>
  </si>
  <si>
    <t>Gross Operating Income</t>
  </si>
  <si>
    <t>Strong operating leverage.</t>
  </si>
  <si>
    <t>Cost of Risk</t>
  </si>
  <si>
    <t>39bps — within &lt;40bps guidance. Stage 3 provisions on normalisation.</t>
  </si>
  <si>
    <t>Pre-Tax Income (incl. exceptionals)</t>
  </si>
  <si>
    <t>Includes UK Motor Finance and Allfunds revaluation exceptionals.</t>
  </si>
  <si>
    <t>RECORD Q1 level. Tax rate 29.3% (IFRIC 21 seasonal effect).</t>
  </si>
  <si>
    <t>Return on Tangible Equity (RoTE annualised)</t>
  </si>
  <si>
    <t>+180bps</t>
  </si>
  <si>
    <t>ABOVE 12% full-year 2026 target. Ahead of schedule.</t>
  </si>
  <si>
    <t>CET1 Ratio</t>
  </si>
  <si>
    <t>+20bps</t>
  </si>
  <si>
    <t>CEO: 'can reach 13% by year end'. KEY CATALYST.</t>
  </si>
  <si>
    <t>DIVISION PERFORMANCE — Q1 2026 (€m NBI)</t>
  </si>
  <si>
    <t>CIB — Corporate &amp; Institutional Banking</t>
  </si>
  <si>
    <t>FX drag ~€165m. Underlying +3.1% csr. Strong Global Markets (+9.3% Equity).</t>
  </si>
  <si>
    <t xml:space="preserve">  Global Banking</t>
  </si>
  <si>
    <t>Rate impact + base effect. Q2 base much more favourable.</t>
  </si>
  <si>
    <t xml:space="preserve">  Global Markets</t>
  </si>
  <si>
    <t>FICC flat csr. Equity &amp; Prime Services +9.3% csr — very strong.</t>
  </si>
  <si>
    <t xml:space="preserve">  Securities Services</t>
  </si>
  <si>
    <t>Consistent growth. New mandates. C/I 65.5% (-2.2pts).</t>
  </si>
  <si>
    <t>CPBS — Commercial, Personal Banking &amp; Services</t>
  </si>
  <si>
    <t>NII recovery confirmed at CPBE +7.9%. RoNE 14.3% (+1.0pt).</t>
  </si>
  <si>
    <t xml:space="preserve">  CPBE (eurozone CPB)</t>
  </si>
  <si>
    <t>CFO: +5% per quarter vs year-ago 'until end of decade'. Jaws +5.3pts.</t>
  </si>
  <si>
    <t xml:space="preserve">  Specialised Businesses</t>
  </si>
  <si>
    <t>Arval used-car headwind. Personal Finance double-digit pre-tax growth.</t>
  </si>
  <si>
    <t>IPS — Investment &amp; Protection Services</t>
  </si>
  <si>
    <t>AXA IM consolidated. Organic +10.6% csr. Insurance +11.1%.</t>
  </si>
  <si>
    <t>EXCEPTIONAL ITEMS — Q1 2026 (After-Tax Impact on Net Income)</t>
  </si>
  <si>
    <t>UK Motor Finance FCA provision</t>
  </si>
  <si>
    <t>Pretax -€219m. Industry-wide FCA issue. Watch for scope expansion.</t>
  </si>
  <si>
    <t>Allfunds stake revaluation</t>
  </si>
  <si>
    <t>Pretax +€372m. Non-cash. Largely offsets Motor Finance.</t>
  </si>
  <si>
    <t>AXA IM restructuring (front-loaded)</t>
  </si>
  <si>
    <t>Pretax -€262m. ~€400m total expected in 2026.</t>
  </si>
  <si>
    <t>Net Exceptional Items Impact (After-Tax)</t>
  </si>
  <si>
    <t>FORMULA = SUM of exceptional items. Net +€62m. Broadly neutral.</t>
  </si>
  <si>
    <t>FORMULA AUDIT: Row 8 (Jaws) = NBI growth - OpEx growth. Row 9 (Gross Operating Income) = NBI - OpEx. Column F (Change %) for every row = Q1 2026 / Q1 2025 - 1. Column E (Change €m) for every row = Q1 2026 - Q1 2025. Row 30 (Net Exceptionals) = SUM(C27:C29). Q1 2026 NBI, Net Income, RoTE, CET1 all LINK to Live Market Data sheet to ensure single source of truth.</t>
  </si>
  <si>
    <t>AXA IM ACQUISITION  |  €5.1bn  |  Closed 1 July 2025  |  Europe's Top-3 Asset Manager</t>
  </si>
  <si>
    <t>DEAL ECONOMICS: All numbers entered as INPUTS (BLUE). Synergy ramp percentage and incremental EBIT are FORMULAS. Total synergies (cost + revenue) entered separately to allow scenario analysis. ROIC calculated as = (incremental EBIT × (1 - tax)) / Acquisition Price.</t>
  </si>
  <si>
    <t>Parameter</t>
  </si>
  <si>
    <t>At Acquisition</t>
  </si>
  <si>
    <t>FY2026E</t>
  </si>
  <si>
    <t>FY2027E</t>
  </si>
  <si>
    <t>FY2028E</t>
  </si>
  <si>
    <t>FY2029E</t>
  </si>
  <si>
    <t>DEAL STRUCTURE</t>
  </si>
  <si>
    <t>Acquisition Price (€m)</t>
  </si>
  <si>
    <t>Via BNP Paribas Cardif. Sunk cost.</t>
  </si>
  <si>
    <t>AUM (BNP AM Group, €bn)</t>
  </si>
  <si>
    <t>~€1,600bn</t>
  </si>
  <si>
    <t>European Asset Mgr Rank</t>
  </si>
  <si>
    <t>Mid-tier</t>
  </si>
  <si>
    <t>Top-3</t>
  </si>
  <si>
    <t>Top-2/3</t>
  </si>
  <si>
    <t>REVENUE &amp; EBIT CONTRIBUTION</t>
  </si>
  <si>
    <t>AXA IM Revenue Contribution (€m)</t>
  </si>
  <si>
    <t>EBIT Margin (pre-synergy → post-synergy)</t>
  </si>
  <si>
    <t>AXA IM EBIT (€m, FORMULA)</t>
  </si>
  <si>
    <t>Cumulative Cost Synergies (€m, target)</t>
  </si>
  <si>
    <t>Cumulative Revenue Synergies (€m, target)</t>
  </si>
  <si>
    <t>Total Cumulative Synergies (€m)</t>
  </si>
  <si>
    <t>ROIC ANALYSIS</t>
  </si>
  <si>
    <t>Effective Tax Rate (assumption)</t>
  </si>
  <si>
    <t>Incremental EBIT (After-Tax, €m)</t>
  </si>
  <si>
    <t>★ ROIC (After-tax EBIT / Price)</t>
  </si>
  <si>
    <t>FORMULA AUDIT — AXA IM Economics:
Row 12 (AXA IM EBIT) = Revenue (Row 10) × EBIT Margin (Row 11)
Row 15 (Total Synergies) = Cost (Row 13) + Revenue (Row 14)
Row 19 (After-tax Incremental EBIT) = (EBIT + Synergies) × (1 - Tax Rate)
Row 20 (ROIC) = After-tax EBIT / Acquisition Price (€5,100m)
VERDICT: ROIC reaches &gt;18% by 2028 and &gt;21% by 2029, meeting BNP's disclosed Wave 3 capital deployment targets. €550m total synergies (€400m cost + €150m revenue) by 2029 — confirmed by management. Integration on schedule per Q1 2026.</t>
  </si>
  <si>
    <t>CAPITAL RETURNS ANALYSIS  |  BNP Paribas SA  |  Dividend + Buyback + Excess Capital</t>
  </si>
  <si>
    <t>CAPITAL RETURNS LOGIC: DPS and Buybacks historical = INPUTS. FY2026E = FORMULAS using Payout Ratio × Net Income from Assumptions sheet. Excess capital calculation based on CET1 surplus above 13% target. All numbers reconcile to Historical Financials and Live Market Data sheets.</t>
  </si>
  <si>
    <t>FY2023A</t>
  </si>
  <si>
    <t>FY2024A</t>
  </si>
  <si>
    <t>FY2025A</t>
  </si>
  <si>
    <t>DIVIDEND PER SHARE</t>
  </si>
  <si>
    <t>FY2026E FORMULA = Dividend payout % × FY2026E EPS</t>
  </si>
  <si>
    <t xml:space="preserve">  DPS Growth (YoY)</t>
  </si>
  <si>
    <t>FORMULA = current year / prior year - 1</t>
  </si>
  <si>
    <t xml:space="preserve">  Dividend Yield (at current price)</t>
  </si>
  <si>
    <t>FORMULA = DPS / Current Price (LINK to Live Market Data!C5)</t>
  </si>
  <si>
    <t>Net Income (€m, Group share)</t>
  </si>
  <si>
    <t>FY2026E = FY25 NI × (1 + CAGR from Assumptions)</t>
  </si>
  <si>
    <t xml:space="preserve">  Dividend Payout Ratio</t>
  </si>
  <si>
    <t>FORMULA = DPS × Shares Outstanding / Net Income</t>
  </si>
  <si>
    <t>SHARE BUYBACKS</t>
  </si>
  <si>
    <t>Share Buybacks Completed (€m)</t>
  </si>
  <si>
    <t>FY26E FORMULA = SBB % (10%) × FY2026E Net Income</t>
  </si>
  <si>
    <t xml:space="preserve">  Buyback as % of NI</t>
  </si>
  <si>
    <t>FORMULA = Buybacks / Net Income</t>
  </si>
  <si>
    <t>TOTAL SHAREHOLDER RETURN (TSR)</t>
  </si>
  <si>
    <t>Total Capital Returned (Div + SBB, €m)</t>
  </si>
  <si>
    <t>FORMULA = (DPS × Shares) + Buybacks. Total cash to shareholders.</t>
  </si>
  <si>
    <t xml:space="preserve">  Total Payout Ratio (Div + SBB / NI)</t>
  </si>
  <si>
    <t>FORMULA = Total Capital Returned / Net Income</t>
  </si>
  <si>
    <t>EXCESS CAPITAL — THE KEY CATALYST</t>
  </si>
  <si>
    <t>CET1 at Q1 2026 (LINK to Live Market Data)</t>
  </si>
  <si>
    <t>current</t>
  </si>
  <si>
    <t>Confirmed from BNP Q1 2026 PR. +20bps QoQ from 12.6% YE25.</t>
  </si>
  <si>
    <t>CET1 Target (LINK to Assumptions)</t>
  </si>
  <si>
    <t>target</t>
  </si>
  <si>
    <t>Target from Assumptions!C26. Management hint: 'reach 13% by year end'.</t>
  </si>
  <si>
    <t>Buffer to Target (bps)</t>
  </si>
  <si>
    <t>to target</t>
  </si>
  <si>
    <t>FORMULA = (Current - Target) × 10000. Negative = below target.</t>
  </si>
  <si>
    <t>Implied Excess Capital (€bn, at 13% CET1)</t>
  </si>
  <si>
    <t>~€2-4bn by 2027</t>
  </si>
  <si>
    <t>annually</t>
  </si>
  <si>
    <t>At &gt;10% NI CAGR, excess generation above 13% can fund €3-4bn extra buybacks/yr.</t>
  </si>
  <si>
    <t>★ THE KEY CATALYST ★
When CET1 reaches 13% (target: YE2026, possibly earlier), BNP has committed to distributing ALL surplus capital annually starting 2027.
MECHANICS: At &gt;10% net income CAGR, BNP generates ~€13-14bn FY2026E net income. Capital generation &gt; distribution = excess CET1.
Excess could fund €3-4bn/year ADDITIONAL buyback on top of standard 60% payout.
GOLDMAN SACHS asked CEO about doing 2026 buyback EARLY. CEO Bonnafé: "Maybe this is an option. Thank you for the idea."
WATCH: Q2 2026 CET1 (results 23 July 2026). At &gt;=12.95%, early buyback announcement is possible — IMMEDIATE re-rating catalyst.</t>
  </si>
  <si>
    <t>VALUATION  |  Excess Returns DDM + P/E + SOP  |  All Formulas Linked to Assumptions</t>
  </si>
  <si>
    <t>VALUATION INTEGRITY: All target prices computed by formula using Assumptions sheet inputs. Change a CoE, RoTE, or scenario probability in Assumptions, and every output here recalculates. Three methods presented: Excess Returns DDM (preferred for banks), P/E Relative (market-relevant), SOP (conservative floor).</t>
  </si>
  <si>
    <t>METHOD 1 — EXCESS RETURNS DDM (Gordon Growth)</t>
  </si>
  <si>
    <t>FY2030E</t>
  </si>
  <si>
    <t>TBV per Share (€)</t>
  </si>
  <si>
    <t>RoTE (projected)</t>
  </si>
  <si>
    <t>Net Income per Share (€)</t>
  </si>
  <si>
    <t>Cost of Equity (LINK)</t>
  </si>
  <si>
    <t>Excess Return per Share (NI - CoE × TBV)</t>
  </si>
  <si>
    <t>Discount Period (years from now)</t>
  </si>
  <si>
    <t>Discount Factor</t>
  </si>
  <si>
    <t>PV of Excess Return</t>
  </si>
  <si>
    <t>Sum PV Excess Returns (FY26-FY30)</t>
  </si>
  <si>
    <t>Terminal Value (Gordon Growth)</t>
  </si>
  <si>
    <t>PV of Terminal Value</t>
  </si>
  <si>
    <t>Current TBV per Share (LINK)</t>
  </si>
  <si>
    <t>★ Excess Returns Fair Value</t>
  </si>
  <si>
    <t xml:space="preserve">  vs Current Price</t>
  </si>
  <si>
    <t>METHOD 2 — P/E SCENARIOS (LINK to Assumptions sheet)</t>
  </si>
  <si>
    <t>Bull</t>
  </si>
  <si>
    <t>Base</t>
  </si>
  <si>
    <t>Bear</t>
  </si>
  <si>
    <t>Prob-Weighted</t>
  </si>
  <si>
    <t>Probability (LINK to Assumptions)</t>
  </si>
  <si>
    <t>P/E Multiple (LINK to Assumptions)</t>
  </si>
  <si>
    <t>EPS (LINK to Assumptions)</t>
  </si>
  <si>
    <t>★ Implied Price (P/E × EPS)</t>
  </si>
  <si>
    <t>METHOD 3 — SUM OF PARTS</t>
  </si>
  <si>
    <t>Division</t>
  </si>
  <si>
    <t>NBI (€m)</t>
  </si>
  <si>
    <t>Peer Mult</t>
  </si>
  <si>
    <t>Valuation (€bn)</t>
  </si>
  <si>
    <t>1. CIB</t>
  </si>
  <si>
    <t>CIB</t>
  </si>
  <si>
    <t>2. CPBS</t>
  </si>
  <si>
    <t>CPBS</t>
  </si>
  <si>
    <t>3. IPS + AXA IM</t>
  </si>
  <si>
    <t>IPS+AM</t>
  </si>
  <si>
    <t>SOP Enterprise Value (€bn)</t>
  </si>
  <si>
    <t>SOP per Share (€)</t>
  </si>
  <si>
    <t>FINAL TARGET PRICE (WEIGHTED — LINK TO ASSUMPTIONS)</t>
  </si>
  <si>
    <t>FINAL 12M TARGET (LINK to Assumptions!C68)</t>
  </si>
  <si>
    <t xml:space="preserve">  Upside to Target</t>
  </si>
  <si>
    <t xml:space="preserve">  Total Return (Price + Dividend)</t>
  </si>
  <si>
    <t>VALUATION SUMMARY
★ ALL TARGET PRICES ARE FORMULA-LINKED TO THE ASSUMPTIONS SHEET ★
Method 1 (Excess Returns DDM): Bottom-up valuation using TBV, RoTE projections (Row 7 inputs), CoE from Assumptions C9, and terminal growth from Assumptions C20.
Method 2 (P/E Scenarios): Three scenarios with probability weights. Bull/Base/Bear P/Es and EPS all linked to Assumptions sheet. Probability-weighted price linked to Assumptions C53.
Method 3 (SOP): Conservative floor estimate. CIB at 1.8x NBI, CPBS at 1.4x, IPS+AM at 3.0x. Per-share value = Enterprise Value / Shares Outstanding (LINK to Live Market Data!C6).
★ FINAL TARGET ★: Weighted average of methods. 40% P/E + 40% DDM + 20% SOP. Computed in Assumptions!C68. Row 38 LINKS to that cell — change weights in Assumptions and final target recalculates.</t>
  </si>
  <si>
    <t>PEER COMPARISON  |  European Large-Cap Banks  |  May 2026  |  BNP LINKED to Live Market Data</t>
  </si>
  <si>
    <t>PEER DATA: BNP row (highlighted) LINKS to Live Market Data sheet — single source of truth. Peer multiples are LIVE where available (BNP, SocGen, UniCredit — May 22 2026), ESTIMATED for others. If BNP price changes in Live Market Data, this peer table updates automatically.</t>
  </si>
  <si>
    <t>Bank</t>
  </si>
  <si>
    <t>Price</t>
  </si>
  <si>
    <t>Mkt Cap</t>
  </si>
  <si>
    <t>P/E TTM</t>
  </si>
  <si>
    <t>P/E FY26E</t>
  </si>
  <si>
    <t>RoTE</t>
  </si>
  <si>
    <t>Div Yield</t>
  </si>
  <si>
    <t>BNP Paribas (EPA: BNP) ★</t>
  </si>
  <si>
    <t>★ LIVE. All cells LINKED to Live Market Data.</t>
  </si>
  <si>
    <t>Société Générale</t>
  </si>
  <si>
    <t>LIVE (Morningstar). Deeper P/B discount but lower RoTE than BNP.</t>
  </si>
  <si>
    <t>UniCredit</t>
  </si>
  <si>
    <t>LIVE. Highest RoTE = premium warranted. Re-rating template.</t>
  </si>
  <si>
    <t>ING Group</t>
  </si>
  <si>
    <t>ESTIMATED. Systematic buybacks. Predictable cadence.</t>
  </si>
  <si>
    <t>Barclays</t>
  </si>
  <si>
    <t>ESTIMATED. UK-focused. Re-rating under new CEO.</t>
  </si>
  <si>
    <t>Santander</t>
  </si>
  <si>
    <t>ESTIMATED. Pan-European + LatAm. Premium RoTE vs BNP.</t>
  </si>
  <si>
    <t>PEER STATISTICS (calculated)</t>
  </si>
  <si>
    <t>Peer Median (excl. BNP)</t>
  </si>
  <si>
    <t>FORMULA = MEDIAN of peer rows.</t>
  </si>
  <si>
    <t>BNP Discount to Peer Median</t>
  </si>
  <si>
    <t>FORMULA = BNP / Peer Median - 1. Negative = discount.</t>
  </si>
  <si>
    <t>PEER COMPARISON INSIGHT: BNP at €89.16 trades at a meaningful discount to the peer median on P/TBV (~0.92x vs peer median ~1.05x). On RoTE, BNP at 12.8% (Q1 2026) is above SocGen (11.7%) and ING (~13.6%) but below UniCredit (25.8%) and Santander (~16%). On dividend yield, BNP at 5.79% is HIGHEST among peers — almost 2pts above the median ~3.6%. The discount-to-RoTE relationship is anomalous: BNP should not trade at a deeper P/TBV discount than UniCredit (1.40x) given comparable trajectory.</t>
  </si>
  <si>
    <t>RISK MATRIX  |  BNP Paribas SA  |  Traffic Light Assessment  |  May 2026</t>
  </si>
  <si>
    <t>Risk Factor</t>
  </si>
  <si>
    <t>Analysis &amp; Mitigant</t>
  </si>
  <si>
    <t>Investment Action</t>
  </si>
  <si>
    <t>🔴 HIGH RISK</t>
  </si>
  <si>
    <t>French sovereign risk — OAT spread at 86bps</t>
  </si>
  <si>
    <t>France: 5.8-6.1% GDP deficit. OAT-Bund spread at 86bps (2012 crisis levels). 4 PMs since Jun 2024. BUT: BNP earns &lt;10% pre-tax profit from France. ECB TPI backstop limits disorderly widening. 26% revenue exposure — lowest among major French banks.</t>
  </si>
  <si>
    <t>MONITOR: OAT-Bund spread, French budget votes, ECB TPI activation signals.</t>
  </si>
  <si>
    <t>ECB rate cuts — NII headwind if rates fall below 2%</t>
  </si>
  <si>
    <t>ECB at 2.0%. CFO: structural deposit reinvestment benefit requires 'short end between 2% and 3%'. Below 2% the structural tailwind weakens. Market pricing implies high probability rates stay near 2% through 2027.</t>
  </si>
  <si>
    <t>WATCH: Every ECB meeting. Cut below 1.75% changes CPBS NII model materially.</t>
  </si>
  <si>
    <t>AXA IM integration — key person retention</t>
  </si>
  <si>
    <t>Asset management is a people business. Top investment managers could leave. Q1 2026: integration 'on schedule', +€15.7bn net flows. Positive signals. Risk doesn't disappear until 2027-2028 full integration complete.</t>
  </si>
  <si>
    <t>MONITOR: Quarterly net flows. Key person departure announcements.</t>
  </si>
  <si>
    <t>🟡 MEDIUM RISK</t>
  </si>
  <si>
    <t>UK Motor Finance — FCA scheme could widen</t>
  </si>
  <si>
    <t>Q1 2026: -€219m pretax / -€98m after tax provision. Industry-wide FCA issue (Lloyds, Barclays UK also provisioning). If FCA broadens scope, further provisions possible. Manageable at current scale.</t>
  </si>
  <si>
    <t>WATCH: FCA announcements on Motor Finance scheme scope.</t>
  </si>
  <si>
    <t>CIB revenue cyclicality — FICC volatility</t>
  </si>
  <si>
    <t>CIB 37% of revenues, 80%+ of earnings volatility. Major market stress event could sharply reduce FICC. Q1 2026 CIB flat YoY at headline due to FX and base. Underlying +3.1% csr strong. Securities Services (~18% of CIB) stable fee income partial offset.</t>
  </si>
  <si>
    <t>NOTE: CIB volatility is structural. Model with 15-20% revenue variance in stress.</t>
  </si>
  <si>
    <t>Arval used-car deterioration in March 2026</t>
  </si>
  <si>
    <t>CFO flagged 'marked deterioration' in ICE used-car prices. Driver: demand shift to EVs. Athlon acquisition (pending regulatory approval) will improve EV mix. Isolated to Arval; not Group P&amp;L material at current levels.</t>
  </si>
  <si>
    <t>WATCH: Q2 2026 Arval revenues. Used-car price indices (BCA, Cap HPI).</t>
  </si>
  <si>
    <t>🟢 LOW RISK</t>
  </si>
  <si>
    <t>Balance sheet — CET1 far above minimum</t>
  </si>
  <si>
    <t>CET1 12.8% vs SREP 10.42% = 238bps headroom. LCR 125%. Liquidity €464bn. Rated A+/A1/AA-. Stress scenario (CoR doubling): CET1 stays above 12% — no covenant risk. Balance sheet is a source of strength.</t>
  </si>
  <si>
    <t>LOW RISK. Confirm quarterly CET1 progression toward 13% target.</t>
  </si>
  <si>
    <t>Dividend sustainability — covered 2.0× by earnings</t>
  </si>
  <si>
    <t>DPS €5.16 paid May 2026. Payout ~50% of NI. At €12.2bn NI, DPS covered 2.0× by earnings. Even at 30% earnings decline (severe stress), dividend covered. BNP has never cut dividend in modern era; progressive policy in place.</t>
  </si>
  <si>
    <t>LOW RISK. Dividend structurally secure.</t>
  </si>
  <si>
    <t>Credit quality — NPL at historical low 1.6%</t>
  </si>
  <si>
    <t>NPL ratio 1.6% (long secular decline). Stage 3 coverage 67.1%. 79% of gross credit exposures Investment Grade. Private credit only 3% of loans, 0% NPL. Average CoR ex-PF: 25bps Q1 2026 vs 30bps long-term. Best-in-class loan book.</t>
  </si>
  <si>
    <t>LOW RISK. Monitor quarterly NPL ratio.</t>
  </si>
  <si>
    <t>INVESTMENT VERDICT  |  BNP Paribas SA  |  All key metrics LINK to Live Market Data</t>
  </si>
  <si>
    <t>INVESTMENT SUMMARY</t>
  </si>
  <si>
    <t>BULL CASE — 35% probability</t>
  </si>
  <si>
    <t>BASE CASE — 50% probability</t>
  </si>
  <si>
    <t>BEAR CASE — 15% probability</t>
  </si>
  <si>
    <t>THE ONE THING THAT DETERMINES EVERYTHING</t>
  </si>
  <si>
    <t>The single most important variable: CET1 reaching 13% and subsequent excess capital distribution.
When CET1 hits 13%, BNP has committed to distributing ALL surplus capital annually from 2027. At &gt;10% net income CAGR, excess generation could fund €3-4bn/year additional buybacks. That puts total shareholder return at 8-9% per year — UniCredit-style re-rating template.
Goldman Sachs asked CEO about early buyback. Bonnafé: 'maybe this is an option' — opening the door. Watch Q2 2026 CET1 (results 23 July 2026). At ≥12.95%, early buyback narrative becomes dominant re-rating catalyst.</t>
  </si>
  <si>
    <t>WHAT TO WATCH — THREE METRICS NEXT 6 MONTHS</t>
  </si>
  <si>
    <t>1. CET1 AT Q2 2026 RESULTS (July 23, 2026) — Target ≥12.9%; possible early buyback announcement. Red flag: &lt;12.7%.
2. AXA IM NET FLOWS (quarterly) — Target net positive each quarter (Q1: +€15.7bn). Red flag: outflows &gt;€10bn in any quarter.
3. OAT-BUND SPREAD (ongoing) — Target stable/declining from 86bps. Red flag: &gt;100bps or French rating cut.</t>
  </si>
  <si>
    <t>LEVERAGE STRESS TEST</t>
  </si>
  <si>
    <t>CURRENT: CET1 12.8% vs SREP 10.42% = 238bps headroom. CoR 36bps FY25. NPL 1.6%.
STRESS: CoR doubles to 72bps; NII -15% from ECB cuts.
Stressed CET1: ~12.5% — still 208bps above SREP. NO COVENANT RISK.
Versus 2011-12 European debt crisis (BNP CET1 ~9%, NPL 12%), today's balance sheet is structurally superior.</t>
  </si>
  <si>
    <t>DYNAMIC VERDICT: Recommendation and scenario targets above are LINKED to Assumptions and Live Market Data sheets. If you change the current price in Live Market Data!C5, or update scenario P/Es in Assumptions, every number recalculates. This is a fully formula-driven model — auditable to source.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</si>
</sst>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\€#,##0.00"/>
    <numFmt numFmtId="165" formatCode="\€#,##0.0&quot;bn&quot;"/>
    <numFmt numFmtId="166" formatCode="0.00\×"/>
    <numFmt numFmtId="167" formatCode="#,##0;\(#,##0\);\–"/>
    <numFmt numFmtId="168" formatCode="\€#,##0;&quot;(€&quot;#,##0\);\–"/>
    <numFmt numFmtId="169" formatCode="0.00\×;\(0.00&quot;×)&quot;;\–"/>
    <numFmt numFmtId="170" formatCode="0.0%;\(0.0%\);\–"/>
    <numFmt numFmtId="171" formatCode="0.00%;\(0.00%\);\–"/>
    <numFmt numFmtId="172" formatCode="0&quot; bps&quot;;\(0&quot; bps)&quot;;\–"/>
    <numFmt numFmtId="173" formatCode="0.0"/>
    <numFmt numFmtId="174" formatCode="0.0000"/>
    <numFmt numFmtId="175" formatCode="\€#,##0.0"/>
  </numFmts>
  <fonts count="51" x14ac:knownFonts="1">
    <font>
      <sz val="11"/>
      <color theme="1"/>
      <name val="Calibri"/>
      <family val="2"/>
      <charset val="1"/>
    </font>
    <font>
      <b/>
      <sz val="11"/>
      <color rgb="FFC9A84C"/>
      <name val="Calibri"/>
      <charset val="1"/>
    </font>
    <font>
      <b/>
      <sz val="26"/>
      <color rgb="FFFFFFFF"/>
      <name val="Calibri"/>
      <charset val="1"/>
    </font>
    <font>
      <b/>
      <i/>
      <sz val="10"/>
      <color rgb="FFFFFFFF"/>
      <name val="Calibri"/>
      <charset val="1"/>
    </font>
    <font>
      <b/>
      <sz val="9"/>
      <color rgb="FFC9A84C"/>
      <name val="Calibri"/>
      <charset val="1"/>
    </font>
    <font>
      <sz val="9"/>
      <color rgb="FFFFFFFF"/>
      <name val="Calibri"/>
      <charset val="1"/>
    </font>
    <font>
      <sz val="9"/>
      <color rgb="FF000000"/>
      <name val="Calibri"/>
      <charset val="1"/>
    </font>
    <font>
      <i/>
      <sz val="7.5"/>
      <color rgb="FF6B7280"/>
      <name val="Calibri"/>
      <charset val="1"/>
    </font>
    <font>
      <b/>
      <sz val="13"/>
      <color rgb="FF1F2D4E"/>
      <name val="Calibri"/>
      <charset val="1"/>
    </font>
    <font>
      <i/>
      <sz val="8.5"/>
      <color rgb="FF8B6914"/>
      <name val="Calibri"/>
      <charset val="1"/>
    </font>
    <font>
      <b/>
      <sz val="9"/>
      <color rgb="FFFFFFFF"/>
      <name val="Calibri"/>
      <charset val="1"/>
    </font>
    <font>
      <b/>
      <sz val="10"/>
      <color rgb="FFFFFFFF"/>
      <name val="Calibri"/>
      <charset val="1"/>
    </font>
    <font>
      <sz val="9"/>
      <color rgb="FF0070C0"/>
      <name val="Calibri"/>
      <charset val="1"/>
    </font>
    <font>
      <i/>
      <sz val="8"/>
      <color rgb="FF1A5E20"/>
      <name val="Calibri"/>
      <charset val="1"/>
    </font>
    <font>
      <i/>
      <sz val="8"/>
      <color rgb="FF6B7280"/>
      <name val="Calibri"/>
      <charset val="1"/>
    </font>
    <font>
      <i/>
      <sz val="8"/>
      <color rgb="FF8B6914"/>
      <name val="Calibri"/>
      <charset val="1"/>
    </font>
    <font>
      <b/>
      <sz val="9"/>
      <color rgb="FF000000"/>
      <name val="Calibri"/>
      <charset val="1"/>
    </font>
    <font>
      <b/>
      <sz val="9"/>
      <color rgb="FF0070C0"/>
      <name val="Calibri"/>
      <charset val="1"/>
    </font>
    <font>
      <b/>
      <sz val="9"/>
      <color rgb="FF1A5E20"/>
      <name val="Calibri"/>
      <charset val="1"/>
    </font>
    <font>
      <b/>
      <sz val="9"/>
      <color rgb="FF8B6914"/>
      <name val="Calibri"/>
      <charset val="1"/>
    </font>
    <font>
      <b/>
      <sz val="9"/>
      <color rgb="FF1F2D4E"/>
      <name val="Calibri"/>
      <charset val="1"/>
    </font>
    <font>
      <b/>
      <sz val="9"/>
      <color rgb="FF008080"/>
      <name val="Calibri"/>
      <charset val="1"/>
    </font>
    <font>
      <sz val="9"/>
      <color rgb="FF008080"/>
      <name val="Calibri"/>
      <charset val="1"/>
    </font>
    <font>
      <b/>
      <sz val="9"/>
      <color rgb="FF8B0000"/>
      <name val="Calibri"/>
      <charset val="1"/>
    </font>
    <font>
      <b/>
      <sz val="11"/>
      <color rgb="FFFFFFFF"/>
      <name val="Calibri"/>
      <charset val="1"/>
    </font>
    <font>
      <b/>
      <sz val="12"/>
      <color rgb="FFFFFFFF"/>
      <name val="Calibri"/>
      <charset val="1"/>
    </font>
    <font>
      <i/>
      <sz val="8"/>
      <color rgb="FFFFFFFF"/>
      <name val="Calibri"/>
      <charset val="1"/>
    </font>
    <font>
      <b/>
      <sz val="10"/>
      <color rgb="FF000000"/>
      <name val="Calibri"/>
      <charset val="1"/>
    </font>
    <font>
      <b/>
      <sz val="11"/>
      <color rgb="FF1A5E20"/>
      <name val="Calibri"/>
      <charset val="1"/>
    </font>
    <font>
      <sz val="9"/>
      <color rgb="FF6B7280"/>
      <name val="Calibri"/>
      <charset val="1"/>
    </font>
    <font>
      <b/>
      <sz val="9"/>
      <color rgb="FF1565C0"/>
      <name val="Calibri"/>
      <charset val="1"/>
    </font>
    <font>
      <sz val="9"/>
      <color rgb="FFC62828"/>
      <name val="Calibri"/>
      <charset val="1"/>
    </font>
    <font>
      <b/>
      <sz val="9"/>
      <color rgb="FF1B5E20"/>
      <name val="Calibri"/>
      <charset val="1"/>
    </font>
    <font>
      <b/>
      <i/>
      <sz val="8"/>
      <color rgb="FF1B5E20"/>
      <name val="Calibri"/>
      <charset val="1"/>
    </font>
    <font>
      <b/>
      <i/>
      <sz val="8"/>
      <color rgb="FF6B7280"/>
      <name val="Calibri"/>
      <charset val="1"/>
    </font>
    <font>
      <b/>
      <sz val="10"/>
      <color rgb="FF1F2D4E"/>
      <name val="Calibri"/>
      <charset val="1"/>
    </font>
    <font>
      <i/>
      <sz val="8.5"/>
      <color rgb="FF1B5E20"/>
      <name val="Calibri"/>
      <charset val="1"/>
    </font>
    <font>
      <sz val="9"/>
      <color rgb="FF1B5E20"/>
      <name val="Calibri"/>
      <charset val="1"/>
    </font>
    <font>
      <i/>
      <sz val="8.5"/>
      <color rgb="FF1F2D4E"/>
      <name val="Calibri"/>
      <charset val="1"/>
    </font>
    <font>
      <b/>
      <sz val="11"/>
      <color rgb="FF1F2D4E"/>
      <name val="Calibri"/>
      <charset val="1"/>
    </font>
    <font>
      <b/>
      <i/>
      <sz val="8"/>
      <color rgb="FF1F2D4E"/>
      <name val="Calibri"/>
      <charset val="1"/>
    </font>
    <font>
      <b/>
      <sz val="10"/>
      <color rgb="FF8B0000"/>
      <name val="Calibri"/>
      <charset val="1"/>
    </font>
    <font>
      <b/>
      <sz val="9"/>
      <name val="Calibri"/>
      <charset val="1"/>
    </font>
    <font>
      <sz val="8.5"/>
      <name val="Calibri"/>
      <charset val="1"/>
    </font>
    <font>
      <b/>
      <sz val="8.5"/>
      <name val="Calibri"/>
      <charset val="1"/>
    </font>
    <font>
      <b/>
      <sz val="10"/>
      <color rgb="FF8B6914"/>
      <name val="Calibri"/>
      <charset val="1"/>
    </font>
    <font>
      <b/>
      <sz val="10"/>
      <color rgb="FF1A5E20"/>
      <name val="Calibri"/>
      <charset val="1"/>
    </font>
    <font>
      <b/>
      <sz val="14"/>
      <color rgb="FF1F2D4E"/>
      <name val="Calibri"/>
      <charset val="1"/>
    </font>
    <font>
      <b/>
      <sz val="14"/>
      <color rgb="FFFFFFFF"/>
      <name val="Calibri"/>
      <charset val="1"/>
    </font>
    <font>
      <b/>
      <sz val="11"/>
      <color rgb="FF1B5E20"/>
      <name val="Calibri"/>
      <charset val="1"/>
    </font>
    <font>
      <sz val="9.5"/>
      <color rgb="FF000000"/>
      <name val="Calibri"/>
      <charset val="1"/>
    </font>
  </fonts>
  <fills count="16">
    <fill>
      <patternFill patternType="none"/>
    </fill>
    <fill>
      <patternFill patternType="gray125"/>
    </fill>
    <fill>
      <patternFill patternType="solid">
        <fgColor rgb="FF1F2D4E"/>
        <bgColor rgb="FF2C3E50"/>
      </patternFill>
    </fill>
    <fill>
      <patternFill patternType="solid">
        <fgColor rgb="FFF2F4F7"/>
        <bgColor rgb="FFE8F5E9"/>
      </patternFill>
    </fill>
    <fill>
      <patternFill patternType="solid">
        <fgColor rgb="FFFFF8E1"/>
        <bgColor rgb="FFF2F4F7"/>
      </patternFill>
    </fill>
    <fill>
      <patternFill patternType="solid">
        <fgColor rgb="FFB8860B"/>
        <bgColor rgb="FF8B6914"/>
      </patternFill>
    </fill>
    <fill>
      <patternFill patternType="solid">
        <fgColor rgb="FFFFFFFF"/>
        <bgColor rgb="FFFFF8E1"/>
      </patternFill>
    </fill>
    <fill>
      <patternFill patternType="solid">
        <fgColor rgb="FFE8F5E9"/>
        <bgColor rgb="FFF2F4F7"/>
      </patternFill>
    </fill>
    <fill>
      <patternFill patternType="solid">
        <fgColor rgb="FFFFEBEE"/>
        <bgColor rgb="FFF2F4F7"/>
      </patternFill>
    </fill>
    <fill>
      <patternFill patternType="solid">
        <fgColor rgb="FFC9A84C"/>
        <bgColor rgb="FFB8860B"/>
      </patternFill>
    </fill>
    <fill>
      <patternFill patternType="solid">
        <fgColor rgb="FF1565C0"/>
        <bgColor rgb="FF0070C0"/>
      </patternFill>
    </fill>
    <fill>
      <patternFill patternType="solid">
        <fgColor rgb="FF00695C"/>
        <bgColor rgb="FF008080"/>
      </patternFill>
    </fill>
    <fill>
      <patternFill patternType="solid">
        <fgColor rgb="FF1B5E20"/>
        <bgColor rgb="FF1A5E20"/>
      </patternFill>
    </fill>
    <fill>
      <patternFill patternType="solid">
        <fgColor rgb="FFC62828"/>
        <bgColor rgb="FF993366"/>
      </patternFill>
    </fill>
    <fill>
      <patternFill patternType="solid">
        <fgColor rgb="FF1A237E"/>
        <bgColor rgb="FF1F2D4E"/>
      </patternFill>
    </fill>
    <fill>
      <patternFill patternType="solid">
        <fgColor rgb="FF6B7280"/>
        <bgColor rgb="FF2E86A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7">
    <xf numFmtId="0" fontId="0" fillId="0" borderId="0" xfId="0"/>
    <xf numFmtId="0" fontId="8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wrapText="1" indent="1"/>
    </xf>
    <xf numFmtId="0" fontId="6" fillId="3" borderId="0" xfId="0" applyFont="1" applyFill="1" applyAlignment="1">
      <alignment horizontal="left" vertical="top" wrapText="1" indent="1"/>
    </xf>
    <xf numFmtId="10" fontId="4" fillId="2" borderId="0" xfId="0" applyNumberFormat="1" applyFont="1" applyFill="1" applyAlignment="1">
      <alignment horizontal="left" vertical="center" indent="1"/>
    </xf>
    <xf numFmtId="164" fontId="4" fillId="2" borderId="0" xfId="0" applyNumberFormat="1" applyFont="1" applyFill="1" applyAlignment="1">
      <alignment horizontal="left" vertical="center" indent="1"/>
    </xf>
    <xf numFmtId="0" fontId="4" fillId="2" borderId="0" xfId="0" applyFont="1" applyFill="1" applyAlignment="1">
      <alignment horizontal="left" vertical="center" indent="1"/>
    </xf>
    <xf numFmtId="10" fontId="5" fillId="2" borderId="0" xfId="0" applyNumberFormat="1" applyFont="1" applyFill="1" applyAlignment="1">
      <alignment horizontal="left" vertical="center" indent="1"/>
    </xf>
    <xf numFmtId="166" fontId="5" fillId="2" borderId="0" xfId="0" applyNumberFormat="1" applyFont="1" applyFill="1" applyAlignment="1">
      <alignment horizontal="left" vertical="center" indent="1"/>
    </xf>
    <xf numFmtId="165" fontId="5" fillId="2" borderId="0" xfId="0" applyNumberFormat="1" applyFont="1" applyFill="1" applyAlignment="1">
      <alignment horizontal="left" vertical="center" indent="1"/>
    </xf>
    <xf numFmtId="164" fontId="5" fillId="2" borderId="0" xfId="0" applyNumberFormat="1" applyFont="1" applyFill="1" applyAlignment="1">
      <alignment horizontal="left" vertical="center" indent="1"/>
    </xf>
    <xf numFmtId="0" fontId="5" fillId="2" borderId="0" xfId="0" applyFont="1" applyFill="1" applyAlignment="1">
      <alignment horizontal="left" vertical="center" indent="1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4" fillId="2" borderId="0" xfId="0" applyFont="1" applyFill="1" applyAlignment="1">
      <alignment horizontal="left" vertical="center" indent="1"/>
    </xf>
    <xf numFmtId="0" fontId="9" fillId="4" borderId="0" xfId="0" applyFont="1" applyFill="1" applyAlignment="1">
      <alignment horizontal="left" vertical="top" wrapText="1" indent="1"/>
    </xf>
    <xf numFmtId="0" fontId="10" fillId="5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left" vertical="center" wrapText="1" indent="1"/>
    </xf>
    <xf numFmtId="164" fontId="12" fillId="6" borderId="0" xfId="0" applyNumberFormat="1" applyFont="1" applyFill="1" applyAlignment="1">
      <alignment horizontal="right" vertical="center"/>
    </xf>
    <xf numFmtId="0" fontId="6" fillId="6" borderId="0" xfId="0" applyFont="1" applyFill="1" applyAlignment="1">
      <alignment horizontal="center" vertical="center" wrapText="1"/>
    </xf>
    <xf numFmtId="0" fontId="13" fillId="7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left" vertical="center" wrapText="1" indent="1"/>
    </xf>
    <xf numFmtId="167" fontId="12" fillId="6" borderId="0" xfId="0" applyNumberFormat="1" applyFont="1" applyFill="1" applyAlignment="1">
      <alignment horizontal="right" vertical="center"/>
    </xf>
    <xf numFmtId="0" fontId="15" fillId="4" borderId="0" xfId="0" applyFont="1" applyFill="1" applyAlignment="1">
      <alignment horizontal="center" vertical="center" wrapText="1"/>
    </xf>
    <xf numFmtId="0" fontId="16" fillId="3" borderId="0" xfId="0" applyFont="1" applyFill="1" applyAlignment="1">
      <alignment horizontal="left" vertical="center" wrapText="1" indent="1"/>
    </xf>
    <xf numFmtId="168" fontId="16" fillId="3" borderId="0" xfId="0" applyNumberFormat="1" applyFont="1" applyFill="1" applyAlignment="1">
      <alignment horizontal="right" vertical="center"/>
    </xf>
    <xf numFmtId="0" fontId="16" fillId="3" borderId="0" xfId="0" applyFont="1" applyFill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4" fillId="3" borderId="0" xfId="0" applyFont="1" applyFill="1" applyAlignment="1">
      <alignment horizontal="left" vertical="center" wrapText="1" indent="1"/>
    </xf>
    <xf numFmtId="169" fontId="12" fillId="6" borderId="0" xfId="0" applyNumberFormat="1" applyFont="1" applyFill="1" applyAlignment="1">
      <alignment horizontal="right" vertical="center"/>
    </xf>
    <xf numFmtId="0" fontId="6" fillId="3" borderId="0" xfId="0" applyFont="1" applyFill="1" applyAlignment="1">
      <alignment horizontal="left" vertical="center" wrapText="1" indent="1"/>
    </xf>
    <xf numFmtId="164" fontId="6" fillId="3" borderId="0" xfId="0" applyNumberFormat="1" applyFont="1" applyFill="1" applyAlignment="1">
      <alignment horizontal="right" vertical="center"/>
    </xf>
    <xf numFmtId="0" fontId="6" fillId="3" borderId="0" xfId="0" applyFont="1" applyFill="1" applyAlignment="1">
      <alignment horizontal="center" vertical="center" wrapText="1"/>
    </xf>
    <xf numFmtId="0" fontId="16" fillId="6" borderId="0" xfId="0" applyFont="1" applyFill="1" applyAlignment="1">
      <alignment horizontal="left" vertical="center" wrapText="1" indent="1"/>
    </xf>
    <xf numFmtId="164" fontId="17" fillId="6" borderId="0" xfId="0" applyNumberFormat="1" applyFont="1" applyFill="1" applyAlignment="1">
      <alignment horizontal="right" vertical="center"/>
    </xf>
    <xf numFmtId="0" fontId="16" fillId="6" borderId="0" xfId="0" applyFont="1" applyFill="1" applyAlignment="1">
      <alignment horizontal="center" vertical="center" wrapText="1"/>
    </xf>
    <xf numFmtId="0" fontId="16" fillId="7" borderId="0" xfId="0" applyFont="1" applyFill="1" applyAlignment="1">
      <alignment horizontal="left" vertical="center" wrapText="1" indent="1"/>
    </xf>
    <xf numFmtId="10" fontId="18" fillId="7" borderId="0" xfId="0" applyNumberFormat="1" applyFont="1" applyFill="1" applyAlignment="1">
      <alignment horizontal="right" vertical="center"/>
    </xf>
    <xf numFmtId="0" fontId="16" fillId="7" borderId="0" xfId="0" applyFont="1" applyFill="1" applyAlignment="1">
      <alignment horizontal="center" vertical="center" wrapText="1"/>
    </xf>
    <xf numFmtId="0" fontId="14" fillId="7" borderId="0" xfId="0" applyFont="1" applyFill="1" applyAlignment="1">
      <alignment horizontal="center" vertical="center" wrapText="1"/>
    </xf>
    <xf numFmtId="0" fontId="14" fillId="7" borderId="0" xfId="0" applyFont="1" applyFill="1" applyAlignment="1">
      <alignment horizontal="left" vertical="center" wrapText="1" indent="1"/>
    </xf>
    <xf numFmtId="169" fontId="6" fillId="6" borderId="0" xfId="0" applyNumberFormat="1" applyFont="1" applyFill="1" applyAlignment="1">
      <alignment horizontal="right" vertical="center"/>
    </xf>
    <xf numFmtId="0" fontId="14" fillId="6" borderId="0" xfId="0" applyFont="1" applyFill="1" applyAlignment="1">
      <alignment horizontal="center" vertical="center" wrapText="1"/>
    </xf>
    <xf numFmtId="169" fontId="18" fillId="7" borderId="0" xfId="0" applyNumberFormat="1" applyFont="1" applyFill="1" applyAlignment="1">
      <alignment horizontal="right" vertical="center"/>
    </xf>
    <xf numFmtId="0" fontId="12" fillId="6" borderId="0" xfId="0" applyFont="1" applyFill="1" applyAlignment="1">
      <alignment horizontal="right" vertical="center" wrapText="1"/>
    </xf>
    <xf numFmtId="170" fontId="17" fillId="6" borderId="0" xfId="0" applyNumberFormat="1" applyFont="1" applyFill="1" applyAlignment="1">
      <alignment horizontal="right" vertical="center"/>
    </xf>
    <xf numFmtId="168" fontId="12" fillId="6" borderId="0" xfId="0" applyNumberFormat="1" applyFont="1" applyFill="1" applyAlignment="1">
      <alignment horizontal="right" vertical="center"/>
    </xf>
    <xf numFmtId="168" fontId="17" fillId="6" borderId="0" xfId="0" applyNumberFormat="1" applyFont="1" applyFill="1" applyAlignment="1">
      <alignment horizontal="right" vertical="center"/>
    </xf>
    <xf numFmtId="170" fontId="6" fillId="6" borderId="0" xfId="0" applyNumberFormat="1" applyFont="1" applyFill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171" fontId="12" fillId="6" borderId="0" xfId="0" applyNumberFormat="1" applyFont="1" applyFill="1" applyAlignment="1">
      <alignment horizontal="right" vertical="center"/>
    </xf>
    <xf numFmtId="0" fontId="18" fillId="7" borderId="0" xfId="0" applyFont="1" applyFill="1" applyAlignment="1">
      <alignment horizontal="center" vertical="center" wrapText="1"/>
    </xf>
    <xf numFmtId="2" fontId="12" fillId="6" borderId="0" xfId="0" applyNumberFormat="1" applyFont="1" applyFill="1" applyAlignment="1">
      <alignment horizontal="right" vertical="center"/>
    </xf>
    <xf numFmtId="0" fontId="19" fillId="4" borderId="0" xfId="0" applyFont="1" applyFill="1" applyAlignment="1">
      <alignment horizontal="center" vertical="center" wrapText="1"/>
    </xf>
    <xf numFmtId="171" fontId="18" fillId="7" borderId="0" xfId="0" applyNumberFormat="1" applyFont="1" applyFill="1" applyAlignment="1">
      <alignment horizontal="right" vertical="center"/>
    </xf>
    <xf numFmtId="0" fontId="20" fillId="7" borderId="0" xfId="0" applyFont="1" applyFill="1" applyAlignment="1">
      <alignment horizontal="center" vertical="center" wrapText="1"/>
    </xf>
    <xf numFmtId="170" fontId="12" fillId="6" borderId="0" xfId="0" applyNumberFormat="1" applyFont="1" applyFill="1" applyAlignment="1">
      <alignment horizontal="right" vertical="center"/>
    </xf>
    <xf numFmtId="164" fontId="21" fillId="3" borderId="0" xfId="0" applyNumberFormat="1" applyFont="1" applyFill="1" applyAlignment="1">
      <alignment horizontal="right" vertical="center"/>
    </xf>
    <xf numFmtId="0" fontId="21" fillId="3" borderId="0" xfId="0" applyFont="1" applyFill="1" applyAlignment="1">
      <alignment horizontal="center" vertical="center" wrapText="1"/>
    </xf>
    <xf numFmtId="164" fontId="16" fillId="3" borderId="0" xfId="0" applyNumberFormat="1" applyFont="1" applyFill="1" applyAlignment="1">
      <alignment horizontal="right" vertical="center"/>
    </xf>
    <xf numFmtId="0" fontId="20" fillId="3" borderId="0" xfId="0" applyFont="1" applyFill="1" applyAlignment="1">
      <alignment horizontal="center" vertical="center" wrapText="1"/>
    </xf>
    <xf numFmtId="9" fontId="12" fillId="6" borderId="0" xfId="0" applyNumberFormat="1" applyFont="1" applyFill="1" applyAlignment="1">
      <alignment horizontal="right" vertical="center"/>
    </xf>
    <xf numFmtId="9" fontId="16" fillId="3" borderId="0" xfId="0" applyNumberFormat="1" applyFont="1" applyFill="1" applyAlignment="1">
      <alignment horizontal="right" vertical="center"/>
    </xf>
    <xf numFmtId="164" fontId="22" fillId="3" borderId="0" xfId="0" applyNumberFormat="1" applyFont="1" applyFill="1" applyAlignment="1">
      <alignment horizontal="right" vertical="center"/>
    </xf>
    <xf numFmtId="9" fontId="18" fillId="7" borderId="0" xfId="0" applyNumberFormat="1" applyFont="1" applyFill="1" applyAlignment="1">
      <alignment horizontal="right" vertical="center"/>
    </xf>
    <xf numFmtId="169" fontId="22" fillId="3" borderId="0" xfId="0" applyNumberFormat="1" applyFont="1" applyFill="1" applyAlignment="1">
      <alignment horizontal="right" vertical="center"/>
    </xf>
    <xf numFmtId="0" fontId="23" fillId="8" borderId="0" xfId="0" applyFont="1" applyFill="1" applyAlignment="1">
      <alignment horizontal="center" vertical="center" wrapText="1"/>
    </xf>
    <xf numFmtId="164" fontId="18" fillId="7" borderId="0" xfId="0" applyNumberFormat="1" applyFont="1" applyFill="1" applyAlignment="1">
      <alignment horizontal="right" vertical="center"/>
    </xf>
    <xf numFmtId="0" fontId="16" fillId="8" borderId="0" xfId="0" applyFont="1" applyFill="1" applyAlignment="1">
      <alignment horizontal="left" vertical="center" wrapText="1" indent="1"/>
    </xf>
    <xf numFmtId="164" fontId="23" fillId="8" borderId="0" xfId="0" applyNumberFormat="1" applyFont="1" applyFill="1" applyAlignment="1">
      <alignment horizontal="right" vertical="center"/>
    </xf>
    <xf numFmtId="0" fontId="16" fillId="8" borderId="0" xfId="0" applyFont="1" applyFill="1" applyAlignment="1">
      <alignment horizontal="center" vertical="center" wrapText="1"/>
    </xf>
    <xf numFmtId="0" fontId="14" fillId="8" borderId="0" xfId="0" applyFont="1" applyFill="1" applyAlignment="1">
      <alignment horizontal="left" vertical="center" wrapText="1" indent="1"/>
    </xf>
    <xf numFmtId="0" fontId="20" fillId="8" borderId="0" xfId="0" applyFont="1" applyFill="1" applyAlignment="1">
      <alignment horizontal="center" vertical="center" wrapText="1"/>
    </xf>
    <xf numFmtId="0" fontId="16" fillId="9" borderId="0" xfId="0" applyFont="1" applyFill="1" applyAlignment="1">
      <alignment horizontal="left" vertical="center" wrapText="1" indent="1"/>
    </xf>
    <xf numFmtId="164" fontId="20" fillId="9" borderId="0" xfId="0" applyNumberFormat="1" applyFont="1" applyFill="1" applyAlignment="1">
      <alignment horizontal="right" vertical="center"/>
    </xf>
    <xf numFmtId="0" fontId="16" fillId="9" borderId="0" xfId="0" applyFont="1" applyFill="1" applyAlignment="1">
      <alignment horizontal="center" vertical="center" wrapText="1"/>
    </xf>
    <xf numFmtId="0" fontId="14" fillId="9" borderId="0" xfId="0" applyFont="1" applyFill="1" applyAlignment="1">
      <alignment horizontal="left" vertical="center" wrapText="1" indent="1"/>
    </xf>
    <xf numFmtId="0" fontId="20" fillId="9" borderId="0" xfId="0" applyFont="1" applyFill="1" applyAlignment="1">
      <alignment horizontal="center" vertical="center" wrapText="1"/>
    </xf>
    <xf numFmtId="170" fontId="16" fillId="3" borderId="0" xfId="0" applyNumberFormat="1" applyFont="1" applyFill="1" applyAlignment="1">
      <alignment horizontal="right" vertical="center"/>
    </xf>
    <xf numFmtId="164" fontId="17" fillId="9" borderId="0" xfId="0" applyNumberFormat="1" applyFont="1" applyFill="1" applyAlignment="1">
      <alignment horizontal="right" vertical="center"/>
    </xf>
    <xf numFmtId="9" fontId="6" fillId="3" borderId="0" xfId="0" applyNumberFormat="1" applyFont="1" applyFill="1" applyAlignment="1">
      <alignment horizontal="right" vertical="center"/>
    </xf>
    <xf numFmtId="0" fontId="24" fillId="5" borderId="0" xfId="0" applyFont="1" applyFill="1" applyAlignment="1">
      <alignment horizontal="left" vertical="center" wrapText="1" indent="1"/>
    </xf>
    <xf numFmtId="164" fontId="25" fillId="5" borderId="0" xfId="0" applyNumberFormat="1" applyFont="1" applyFill="1" applyAlignment="1">
      <alignment horizontal="right" vertical="center"/>
    </xf>
    <xf numFmtId="0" fontId="10" fillId="5" borderId="0" xfId="0" applyFont="1" applyFill="1" applyAlignment="1">
      <alignment horizontal="center" vertical="center" wrapText="1"/>
    </xf>
    <xf numFmtId="0" fontId="26" fillId="5" borderId="0" xfId="0" applyFont="1" applyFill="1" applyAlignment="1">
      <alignment horizontal="left" vertical="center" wrapText="1" indent="1"/>
    </xf>
    <xf numFmtId="170" fontId="18" fillId="7" borderId="0" xfId="0" applyNumberFormat="1" applyFont="1" applyFill="1" applyAlignment="1">
      <alignment horizontal="right" vertical="center"/>
    </xf>
    <xf numFmtId="0" fontId="6" fillId="7" borderId="0" xfId="0" applyFont="1" applyFill="1" applyAlignment="1">
      <alignment horizontal="left" vertical="center" wrapText="1" indent="1"/>
    </xf>
    <xf numFmtId="171" fontId="21" fillId="7" borderId="0" xfId="0" applyNumberFormat="1" applyFont="1" applyFill="1" applyAlignment="1">
      <alignment horizontal="right" vertical="center"/>
    </xf>
    <xf numFmtId="0" fontId="21" fillId="7" borderId="0" xfId="0" applyFont="1" applyFill="1" applyAlignment="1">
      <alignment horizontal="center" vertical="center" wrapText="1"/>
    </xf>
    <xf numFmtId="0" fontId="27" fillId="7" borderId="0" xfId="0" applyFont="1" applyFill="1" applyAlignment="1">
      <alignment horizontal="left" vertical="center" wrapText="1" indent="1"/>
    </xf>
    <xf numFmtId="170" fontId="28" fillId="7" borderId="0" xfId="0" applyNumberFormat="1" applyFont="1" applyFill="1" applyAlignment="1">
      <alignment horizontal="right" vertical="center"/>
    </xf>
    <xf numFmtId="168" fontId="17" fillId="3" borderId="0" xfId="0" applyNumberFormat="1" applyFont="1" applyFill="1" applyAlignment="1">
      <alignment horizontal="right" vertical="center"/>
    </xf>
    <xf numFmtId="168" fontId="21" fillId="3" borderId="0" xfId="0" applyNumberFormat="1" applyFont="1" applyFill="1" applyAlignment="1">
      <alignment horizontal="right" vertical="center"/>
    </xf>
    <xf numFmtId="0" fontId="6" fillId="3" borderId="0" xfId="0" applyFont="1" applyFill="1" applyAlignment="1">
      <alignment horizontal="left" vertical="center" wrapText="1" indent="2"/>
    </xf>
    <xf numFmtId="0" fontId="29" fillId="3" borderId="0" xfId="0" applyFont="1" applyFill="1" applyAlignment="1">
      <alignment horizontal="right" vertical="center" wrapText="1"/>
    </xf>
    <xf numFmtId="170" fontId="6" fillId="3" borderId="0" xfId="0" applyNumberFormat="1" applyFont="1" applyFill="1" applyAlignment="1">
      <alignment horizontal="right" vertical="center"/>
    </xf>
    <xf numFmtId="0" fontId="30" fillId="3" borderId="0" xfId="0" applyFont="1" applyFill="1" applyAlignment="1">
      <alignment horizontal="left" vertical="center" wrapText="1" indent="2"/>
    </xf>
    <xf numFmtId="170" fontId="30" fillId="3" borderId="0" xfId="0" applyNumberFormat="1" applyFont="1" applyFill="1" applyAlignment="1">
      <alignment horizontal="right" vertical="center"/>
    </xf>
    <xf numFmtId="168" fontId="16" fillId="6" borderId="0" xfId="0" applyNumberFormat="1" applyFont="1" applyFill="1" applyAlignment="1">
      <alignment horizontal="right" vertical="center"/>
    </xf>
    <xf numFmtId="0" fontId="31" fillId="6" borderId="0" xfId="0" applyFont="1" applyFill="1" applyAlignment="1">
      <alignment horizontal="left" vertical="center" wrapText="1" indent="2"/>
    </xf>
    <xf numFmtId="172" fontId="12" fillId="6" borderId="0" xfId="0" applyNumberFormat="1" applyFont="1" applyFill="1" applyAlignment="1">
      <alignment horizontal="right" vertical="center"/>
    </xf>
    <xf numFmtId="0" fontId="6" fillId="6" borderId="0" xfId="0" applyFont="1" applyFill="1" applyAlignment="1">
      <alignment horizontal="left" vertical="center" wrapText="1" indent="2"/>
    </xf>
    <xf numFmtId="0" fontId="29" fillId="6" borderId="0" xfId="0" applyFont="1" applyFill="1" applyAlignment="1">
      <alignment horizontal="right" vertical="center" wrapText="1"/>
    </xf>
    <xf numFmtId="164" fontId="17" fillId="3" borderId="0" xfId="0" applyNumberFormat="1" applyFont="1" applyFill="1" applyAlignment="1">
      <alignment horizontal="right" vertical="center"/>
    </xf>
    <xf numFmtId="164" fontId="22" fillId="6" borderId="0" xfId="0" applyNumberFormat="1" applyFont="1" applyFill="1" applyAlignment="1">
      <alignment horizontal="right" vertical="center"/>
    </xf>
    <xf numFmtId="0" fontId="30" fillId="6" borderId="0" xfId="0" applyFont="1" applyFill="1" applyAlignment="1">
      <alignment horizontal="left" vertical="center" wrapText="1" indent="1"/>
    </xf>
    <xf numFmtId="170" fontId="21" fillId="6" borderId="0" xfId="0" applyNumberFormat="1" applyFont="1" applyFill="1" applyAlignment="1">
      <alignment horizontal="right" vertical="center"/>
    </xf>
    <xf numFmtId="170" fontId="22" fillId="3" borderId="0" xfId="0" applyNumberFormat="1" applyFont="1" applyFill="1" applyAlignment="1">
      <alignment horizontal="right" vertical="center"/>
    </xf>
    <xf numFmtId="0" fontId="32" fillId="7" borderId="0" xfId="0" applyFont="1" applyFill="1" applyAlignment="1">
      <alignment horizontal="left" vertical="center" wrapText="1" indent="2"/>
    </xf>
    <xf numFmtId="170" fontId="32" fillId="7" borderId="0" xfId="0" applyNumberFormat="1" applyFont="1" applyFill="1" applyAlignment="1">
      <alignment horizontal="right" vertical="center"/>
    </xf>
    <xf numFmtId="0" fontId="30" fillId="3" borderId="0" xfId="0" applyFont="1" applyFill="1" applyAlignment="1">
      <alignment horizontal="left" vertical="center" wrapText="1" indent="1"/>
    </xf>
    <xf numFmtId="170" fontId="17" fillId="3" borderId="0" xfId="0" applyNumberFormat="1" applyFont="1" applyFill="1" applyAlignment="1">
      <alignment horizontal="right" vertical="center"/>
    </xf>
    <xf numFmtId="168" fontId="12" fillId="3" borderId="0" xfId="0" applyNumberFormat="1" applyFont="1" applyFill="1" applyAlignment="1">
      <alignment horizontal="right" vertical="center"/>
    </xf>
    <xf numFmtId="0" fontId="14" fillId="6" borderId="0" xfId="0" applyFont="1" applyFill="1" applyAlignment="1">
      <alignment horizontal="left" vertical="center" wrapText="1"/>
    </xf>
    <xf numFmtId="168" fontId="6" fillId="6" borderId="0" xfId="0" applyNumberFormat="1" applyFont="1" applyFill="1" applyAlignment="1">
      <alignment horizontal="right" vertical="center"/>
    </xf>
    <xf numFmtId="0" fontId="29" fillId="7" borderId="0" xfId="0" applyFont="1" applyFill="1" applyAlignment="1">
      <alignment horizontal="right" vertical="center" wrapText="1"/>
    </xf>
    <xf numFmtId="0" fontId="33" fillId="7" borderId="0" xfId="0" applyFont="1" applyFill="1" applyAlignment="1">
      <alignment horizontal="left" vertical="center" wrapText="1"/>
    </xf>
    <xf numFmtId="170" fontId="16" fillId="6" borderId="0" xfId="0" applyNumberFormat="1" applyFont="1" applyFill="1" applyAlignment="1">
      <alignment horizontal="right" vertical="center"/>
    </xf>
    <xf numFmtId="168" fontId="6" fillId="3" borderId="0" xfId="0" applyNumberFormat="1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 wrapText="1"/>
    </xf>
    <xf numFmtId="170" fontId="21" fillId="7" borderId="0" xfId="0" applyNumberFormat="1" applyFont="1" applyFill="1" applyAlignment="1">
      <alignment horizontal="right" vertical="center"/>
    </xf>
    <xf numFmtId="170" fontId="17" fillId="7" borderId="0" xfId="0" applyNumberFormat="1" applyFont="1" applyFill="1" applyAlignment="1">
      <alignment horizontal="right" vertical="center"/>
    </xf>
    <xf numFmtId="170" fontId="16" fillId="7" borderId="0" xfId="0" applyNumberFormat="1" applyFont="1" applyFill="1" applyAlignment="1">
      <alignment horizontal="right" vertical="center"/>
    </xf>
    <xf numFmtId="0" fontId="32" fillId="7" borderId="0" xfId="0" applyFont="1" applyFill="1" applyAlignment="1">
      <alignment horizontal="right" vertical="center" wrapText="1"/>
    </xf>
    <xf numFmtId="0" fontId="6" fillId="8" borderId="0" xfId="0" applyFont="1" applyFill="1" applyAlignment="1">
      <alignment horizontal="left" vertical="center" wrapText="1" indent="1"/>
    </xf>
    <xf numFmtId="168" fontId="12" fillId="8" borderId="0" xfId="0" applyNumberFormat="1" applyFont="1" applyFill="1" applyAlignment="1">
      <alignment horizontal="right" vertical="center"/>
    </xf>
    <xf numFmtId="0" fontId="14" fillId="8" borderId="0" xfId="0" applyFont="1" applyFill="1" applyAlignment="1">
      <alignment horizontal="right" vertical="center" wrapText="1"/>
    </xf>
    <xf numFmtId="0" fontId="29" fillId="8" borderId="0" xfId="0" applyFont="1" applyFill="1" applyAlignment="1">
      <alignment horizontal="right" vertical="center" wrapText="1"/>
    </xf>
    <xf numFmtId="0" fontId="14" fillId="8" borderId="0" xfId="0" applyFont="1" applyFill="1" applyAlignment="1">
      <alignment horizontal="left" vertical="center" wrapText="1"/>
    </xf>
    <xf numFmtId="168" fontId="12" fillId="7" borderId="0" xfId="0" applyNumberFormat="1" applyFont="1" applyFill="1" applyAlignment="1">
      <alignment horizontal="right" vertical="center"/>
    </xf>
    <xf numFmtId="0" fontId="14" fillId="7" borderId="0" xfId="0" applyFont="1" applyFill="1" applyAlignment="1">
      <alignment horizontal="right" vertical="center" wrapText="1"/>
    </xf>
    <xf numFmtId="0" fontId="14" fillId="7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left" vertical="center" wrapText="1" indent="1"/>
    </xf>
    <xf numFmtId="168" fontId="12" fillId="4" borderId="0" xfId="0" applyNumberFormat="1" applyFont="1" applyFill="1" applyAlignment="1">
      <alignment horizontal="right" vertical="center"/>
    </xf>
    <xf numFmtId="0" fontId="14" fillId="4" borderId="0" xfId="0" applyFont="1" applyFill="1" applyAlignment="1">
      <alignment horizontal="right" vertical="center" wrapText="1"/>
    </xf>
    <xf numFmtId="0" fontId="29" fillId="4" borderId="0" xfId="0" applyFont="1" applyFill="1" applyAlignment="1">
      <alignment horizontal="right" vertical="center" wrapText="1"/>
    </xf>
    <xf numFmtId="0" fontId="14" fillId="4" borderId="0" xfId="0" applyFont="1" applyFill="1" applyAlignment="1">
      <alignment horizontal="left" vertical="center" wrapText="1"/>
    </xf>
    <xf numFmtId="0" fontId="14" fillId="3" borderId="0" xfId="0" applyFont="1" applyFill="1" applyAlignment="1">
      <alignment horizontal="right" vertical="center" wrapText="1"/>
    </xf>
    <xf numFmtId="0" fontId="34" fillId="3" borderId="0" xfId="0" applyFont="1" applyFill="1" applyAlignment="1">
      <alignment horizontal="left" vertical="center" wrapText="1"/>
    </xf>
    <xf numFmtId="0" fontId="29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32" fillId="3" borderId="0" xfId="0" applyFont="1" applyFill="1" applyAlignment="1">
      <alignment horizontal="center" vertical="center" wrapText="1"/>
    </xf>
    <xf numFmtId="0" fontId="29" fillId="6" borderId="0" xfId="0" applyFont="1" applyFill="1" applyAlignment="1">
      <alignment horizontal="center" vertical="center" wrapText="1"/>
    </xf>
    <xf numFmtId="0" fontId="29" fillId="7" borderId="0" xfId="0" applyFont="1" applyFill="1" applyAlignment="1">
      <alignment horizontal="center" vertical="center" wrapText="1"/>
    </xf>
    <xf numFmtId="168" fontId="32" fillId="7" borderId="0" xfId="0" applyNumberFormat="1" applyFont="1" applyFill="1" applyAlignment="1">
      <alignment horizontal="right" vertical="center"/>
    </xf>
    <xf numFmtId="0" fontId="32" fillId="7" borderId="0" xfId="0" applyFont="1" applyFill="1" applyAlignment="1">
      <alignment horizontal="left" vertical="center" wrapText="1" indent="1"/>
    </xf>
    <xf numFmtId="0" fontId="35" fillId="9" borderId="0" xfId="0" applyFont="1" applyFill="1" applyAlignment="1">
      <alignment horizontal="left" vertical="center" wrapText="1" indent="1"/>
    </xf>
    <xf numFmtId="0" fontId="29" fillId="9" borderId="0" xfId="0" applyFont="1" applyFill="1" applyAlignment="1">
      <alignment horizontal="center" vertical="center" wrapText="1"/>
    </xf>
    <xf numFmtId="170" fontId="20" fillId="9" borderId="0" xfId="0" applyNumberFormat="1" applyFont="1" applyFill="1" applyAlignment="1">
      <alignment horizontal="right" vertical="center"/>
    </xf>
    <xf numFmtId="171" fontId="32" fillId="7" borderId="0" xfId="0" applyNumberFormat="1" applyFont="1" applyFill="1" applyAlignment="1">
      <alignment horizontal="right" vertical="center"/>
    </xf>
    <xf numFmtId="168" fontId="21" fillId="6" borderId="0" xfId="0" applyNumberFormat="1" applyFont="1" applyFill="1" applyAlignment="1">
      <alignment horizontal="right" vertical="center"/>
    </xf>
    <xf numFmtId="0" fontId="6" fillId="7" borderId="0" xfId="0" applyFont="1" applyFill="1" applyAlignment="1">
      <alignment horizontal="left" vertical="center" wrapText="1" indent="2"/>
    </xf>
    <xf numFmtId="170" fontId="37" fillId="7" borderId="0" xfId="0" applyNumberFormat="1" applyFont="1" applyFill="1" applyAlignment="1">
      <alignment horizontal="right" vertical="center"/>
    </xf>
    <xf numFmtId="170" fontId="22" fillId="6" borderId="0" xfId="0" applyNumberFormat="1" applyFont="1" applyFill="1" applyAlignment="1">
      <alignment horizontal="right" vertical="center"/>
    </xf>
    <xf numFmtId="172" fontId="32" fillId="7" borderId="0" xfId="0" applyNumberFormat="1" applyFont="1" applyFill="1" applyAlignment="1">
      <alignment horizontal="right" vertical="center"/>
    </xf>
    <xf numFmtId="164" fontId="16" fillId="6" borderId="0" xfId="0" applyNumberFormat="1" applyFont="1" applyFill="1" applyAlignment="1">
      <alignment horizontal="right" vertical="center"/>
    </xf>
    <xf numFmtId="164" fontId="32" fillId="7" borderId="0" xfId="0" applyNumberFormat="1" applyFont="1" applyFill="1" applyAlignment="1">
      <alignment horizontal="right" vertical="center"/>
    </xf>
    <xf numFmtId="173" fontId="12" fillId="6" borderId="0" xfId="0" applyNumberFormat="1" applyFont="1" applyFill="1" applyAlignment="1">
      <alignment horizontal="right" vertical="center"/>
    </xf>
    <xf numFmtId="174" fontId="6" fillId="3" borderId="0" xfId="0" applyNumberFormat="1" applyFont="1" applyFill="1" applyAlignment="1">
      <alignment horizontal="right" vertical="center"/>
    </xf>
    <xf numFmtId="164" fontId="39" fillId="9" borderId="0" xfId="0" applyNumberFormat="1" applyFont="1" applyFill="1" applyAlignment="1">
      <alignment horizontal="right" vertical="center"/>
    </xf>
    <xf numFmtId="0" fontId="37" fillId="7" borderId="0" xfId="0" applyFont="1" applyFill="1" applyAlignment="1">
      <alignment horizontal="left" vertical="center" wrapText="1" indent="2"/>
    </xf>
    <xf numFmtId="0" fontId="10" fillId="10" borderId="0" xfId="0" applyFont="1" applyFill="1" applyAlignment="1">
      <alignment horizontal="center" vertical="center"/>
    </xf>
    <xf numFmtId="9" fontId="22" fillId="3" borderId="0" xfId="0" applyNumberFormat="1" applyFont="1" applyFill="1" applyAlignment="1">
      <alignment horizontal="right" vertical="center"/>
    </xf>
    <xf numFmtId="169" fontId="22" fillId="6" borderId="0" xfId="0" applyNumberFormat="1" applyFont="1" applyFill="1" applyAlignment="1">
      <alignment horizontal="right" vertical="center"/>
    </xf>
    <xf numFmtId="164" fontId="21" fillId="9" borderId="0" xfId="0" applyNumberFormat="1" applyFont="1" applyFill="1" applyAlignment="1">
      <alignment horizontal="right" vertical="center"/>
    </xf>
    <xf numFmtId="0" fontId="10" fillId="11" borderId="0" xfId="0" applyFont="1" applyFill="1" applyAlignment="1">
      <alignment horizontal="center" vertical="center"/>
    </xf>
    <xf numFmtId="175" fontId="16" fillId="6" borderId="0" xfId="0" applyNumberFormat="1" applyFont="1" applyFill="1" applyAlignment="1">
      <alignment horizontal="right" vertical="center"/>
    </xf>
    <xf numFmtId="167" fontId="12" fillId="3" borderId="0" xfId="0" applyNumberFormat="1" applyFont="1" applyFill="1" applyAlignment="1">
      <alignment horizontal="right" vertical="center"/>
    </xf>
    <xf numFmtId="169" fontId="12" fillId="3" borderId="0" xfId="0" applyNumberFormat="1" applyFont="1" applyFill="1" applyAlignment="1">
      <alignment horizontal="right" vertical="center"/>
    </xf>
    <xf numFmtId="175" fontId="16" fillId="3" borderId="0" xfId="0" applyNumberFormat="1" applyFont="1" applyFill="1" applyAlignment="1">
      <alignment horizontal="right" vertical="center"/>
    </xf>
    <xf numFmtId="167" fontId="16" fillId="7" borderId="0" xfId="0" applyNumberFormat="1" applyFont="1" applyFill="1" applyAlignment="1">
      <alignment horizontal="right" vertical="center"/>
    </xf>
    <xf numFmtId="175" fontId="32" fillId="7" borderId="0" xfId="0" applyNumberFormat="1" applyFont="1" applyFill="1" applyAlignment="1">
      <alignment horizontal="right" vertical="center"/>
    </xf>
    <xf numFmtId="0" fontId="5" fillId="5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165" fontId="20" fillId="9" borderId="0" xfId="0" applyNumberFormat="1" applyFont="1" applyFill="1" applyAlignment="1">
      <alignment horizontal="right" vertical="center"/>
    </xf>
    <xf numFmtId="169" fontId="21" fillId="9" borderId="0" xfId="0" applyNumberFormat="1" applyFont="1" applyFill="1" applyAlignment="1">
      <alignment horizontal="right" vertical="center"/>
    </xf>
    <xf numFmtId="170" fontId="21" fillId="9" borderId="0" xfId="0" applyNumberFormat="1" applyFont="1" applyFill="1" applyAlignment="1">
      <alignment horizontal="right" vertical="center"/>
    </xf>
    <xf numFmtId="171" fontId="21" fillId="9" borderId="0" xfId="0" applyNumberFormat="1" applyFont="1" applyFill="1" applyAlignment="1">
      <alignment horizontal="right" vertical="center"/>
    </xf>
    <xf numFmtId="0" fontId="40" fillId="9" borderId="0" xfId="0" applyFont="1" applyFill="1" applyAlignment="1">
      <alignment horizontal="left" vertical="center" wrapText="1"/>
    </xf>
    <xf numFmtId="164" fontId="12" fillId="3" borderId="0" xfId="0" applyNumberFormat="1" applyFont="1" applyFill="1" applyAlignment="1">
      <alignment horizontal="right" vertical="center"/>
    </xf>
    <xf numFmtId="165" fontId="12" fillId="3" borderId="0" xfId="0" applyNumberFormat="1" applyFont="1" applyFill="1" applyAlignment="1">
      <alignment horizontal="right" vertical="center"/>
    </xf>
    <xf numFmtId="170" fontId="12" fillId="3" borderId="0" xfId="0" applyNumberFormat="1" applyFont="1" applyFill="1" applyAlignment="1">
      <alignment horizontal="right" vertical="center"/>
    </xf>
    <xf numFmtId="171" fontId="12" fillId="3" borderId="0" xfId="0" applyNumberFormat="1" applyFont="1" applyFill="1" applyAlignment="1">
      <alignment horizontal="right" vertical="center"/>
    </xf>
    <xf numFmtId="165" fontId="12" fillId="6" borderId="0" xfId="0" applyNumberFormat="1" applyFont="1" applyFill="1" applyAlignment="1">
      <alignment horizontal="right" vertical="center"/>
    </xf>
    <xf numFmtId="169" fontId="32" fillId="7" borderId="0" xfId="0" applyNumberFormat="1" applyFont="1" applyFill="1" applyAlignment="1">
      <alignment horizontal="right" vertical="center"/>
    </xf>
    <xf numFmtId="0" fontId="42" fillId="8" borderId="0" xfId="0" applyFont="1" applyFill="1" applyAlignment="1">
      <alignment horizontal="left" vertical="top" wrapText="1" indent="1"/>
    </xf>
    <xf numFmtId="0" fontId="43" fillId="8" borderId="0" xfId="0" applyFont="1" applyFill="1" applyAlignment="1">
      <alignment horizontal="left" vertical="top" wrapText="1" indent="1"/>
    </xf>
    <xf numFmtId="0" fontId="44" fillId="8" borderId="0" xfId="0" applyFont="1" applyFill="1" applyAlignment="1">
      <alignment horizontal="left" vertical="top" wrapText="1" indent="1"/>
    </xf>
    <xf numFmtId="0" fontId="42" fillId="4" borderId="0" xfId="0" applyFont="1" applyFill="1" applyAlignment="1">
      <alignment horizontal="left" vertical="top" wrapText="1" indent="1"/>
    </xf>
    <xf numFmtId="0" fontId="43" fillId="4" borderId="0" xfId="0" applyFont="1" applyFill="1" applyAlignment="1">
      <alignment horizontal="left" vertical="top" wrapText="1" indent="1"/>
    </xf>
    <xf numFmtId="0" fontId="44" fillId="4" borderId="0" xfId="0" applyFont="1" applyFill="1" applyAlignment="1">
      <alignment horizontal="left" vertical="top" wrapText="1" indent="1"/>
    </xf>
    <xf numFmtId="0" fontId="42" fillId="7" borderId="0" xfId="0" applyFont="1" applyFill="1" applyAlignment="1">
      <alignment horizontal="left" vertical="top" wrapText="1" indent="1"/>
    </xf>
    <xf numFmtId="0" fontId="43" fillId="7" borderId="0" xfId="0" applyFont="1" applyFill="1" applyAlignment="1">
      <alignment horizontal="left" vertical="top" wrapText="1" indent="1"/>
    </xf>
    <xf numFmtId="0" fontId="44" fillId="7" borderId="0" xfId="0" applyFont="1" applyFill="1" applyAlignment="1">
      <alignment horizontal="left" vertical="top" wrapText="1" indent="1"/>
    </xf>
    <xf numFmtId="0" fontId="47" fillId="0" borderId="0" xfId="0" applyFont="1" applyAlignment="1">
      <alignment horizontal="left" vertical="center" indent="1"/>
    </xf>
    <xf numFmtId="0" fontId="48" fillId="10" borderId="0" xfId="0" applyFont="1" applyFill="1" applyAlignment="1">
      <alignment horizontal="left" vertical="center" indent="1"/>
    </xf>
    <xf numFmtId="0" fontId="49" fillId="7" borderId="0" xfId="0" applyFont="1" applyFill="1" applyAlignment="1">
      <alignment horizontal="left" vertical="center" wrapText="1" indent="1"/>
    </xf>
    <xf numFmtId="0" fontId="24" fillId="2" borderId="0" xfId="0" applyFont="1" applyFill="1" applyAlignment="1">
      <alignment horizontal="left" vertical="center" wrapText="1" indent="1"/>
    </xf>
    <xf numFmtId="0" fontId="50" fillId="3" borderId="0" xfId="0" applyFont="1" applyFill="1" applyAlignment="1">
      <alignment horizontal="left" vertical="top" wrapText="1" indent="1"/>
    </xf>
    <xf numFmtId="0" fontId="24" fillId="12" borderId="0" xfId="0" applyFont="1" applyFill="1" applyAlignment="1">
      <alignment horizontal="left" vertical="center" wrapText="1" indent="1"/>
    </xf>
    <xf numFmtId="0" fontId="24" fillId="10" borderId="0" xfId="0" applyFont="1" applyFill="1" applyAlignment="1">
      <alignment horizontal="left" vertical="center" wrapText="1" indent="1"/>
    </xf>
    <xf numFmtId="0" fontId="24" fillId="13" borderId="0" xfId="0" applyFont="1" applyFill="1" applyAlignment="1">
      <alignment horizontal="left" vertical="center" wrapText="1" indent="1"/>
    </xf>
    <xf numFmtId="0" fontId="24" fillId="14" borderId="0" xfId="0" applyFont="1" applyFill="1" applyAlignment="1">
      <alignment horizontal="left" vertical="center" wrapText="1" indent="1"/>
    </xf>
    <xf numFmtId="0" fontId="11" fillId="15" borderId="0" xfId="0" applyFont="1" applyFill="1" applyAlignment="1">
      <alignment horizontal="left" vertical="center" wrapText="1" indent="1"/>
    </xf>
    <xf numFmtId="0" fontId="50" fillId="6" borderId="0" xfId="0" applyFont="1" applyFill="1" applyAlignment="1">
      <alignment horizontal="left" vertical="top" wrapText="1" indent="1"/>
    </xf>
    <xf numFmtId="0" fontId="9" fillId="4" borderId="0" xfId="0" applyFont="1" applyFill="1" applyAlignment="1">
      <alignment horizontal="left" vertical="top" wrapText="1" indent="1"/>
    </xf>
    <xf numFmtId="0" fontId="11" fillId="2" borderId="0" xfId="0" applyFont="1" applyFill="1" applyAlignment="1">
      <alignment horizontal="left" vertical="center" indent="1"/>
    </xf>
    <xf numFmtId="0" fontId="11" fillId="5" borderId="0" xfId="0" applyFont="1" applyFill="1" applyAlignment="1">
      <alignment horizontal="left" vertical="center" indent="1"/>
    </xf>
    <xf numFmtId="0" fontId="36" fillId="7" borderId="0" xfId="0" applyFont="1" applyFill="1" applyAlignment="1">
      <alignment horizontal="left" vertical="top" wrapText="1" indent="1"/>
    </xf>
    <xf numFmtId="0" fontId="38" fillId="9" borderId="0" xfId="0" applyFont="1" applyFill="1" applyAlignment="1">
      <alignment horizontal="left" vertical="top" wrapText="1" indent="1"/>
    </xf>
    <xf numFmtId="0" fontId="11" fillId="10" borderId="0" xfId="0" applyFont="1" applyFill="1" applyAlignment="1">
      <alignment horizontal="left" vertical="center" indent="1"/>
    </xf>
    <xf numFmtId="0" fontId="11" fillId="11" borderId="0" xfId="0" applyFont="1" applyFill="1" applyAlignment="1">
      <alignment horizontal="left" vertical="center" indent="1"/>
    </xf>
    <xf numFmtId="0" fontId="41" fillId="8" borderId="0" xfId="0" applyFont="1" applyFill="1" applyAlignment="1">
      <alignment horizontal="left" vertical="center" indent="1"/>
    </xf>
    <xf numFmtId="0" fontId="45" fillId="4" borderId="0" xfId="0" applyFont="1" applyFill="1" applyAlignment="1">
      <alignment horizontal="left" vertical="center" indent="1"/>
    </xf>
    <xf numFmtId="0" fontId="46" fillId="7" borderId="0" xfId="0" applyFont="1" applyFill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B0000"/>
      <rgbColor rgb="FF1A5E20"/>
      <rgbColor rgb="FF000080"/>
      <rgbColor rgb="FF8B6914"/>
      <rgbColor rgb="FF800080"/>
      <rgbColor rgb="FF008080"/>
      <rgbColor rgb="FFC0C0C0"/>
      <rgbColor rgb="FF2E86AB"/>
      <rgbColor rgb="FF9999FF"/>
      <rgbColor rgb="FF8E44AD"/>
      <rgbColor rgb="FFFFF8E1"/>
      <rgbColor rgb="FFE8F5E9"/>
      <rgbColor rgb="FF4A148C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695C"/>
      <rgbColor rgb="FF0000FF"/>
      <rgbColor rgb="FF00CCFF"/>
      <rgbColor rgb="FFF2F4F7"/>
      <rgbColor rgb="FFCCFFCC"/>
      <rgbColor rgb="FFFFEBEE"/>
      <rgbColor rgb="FF99CCFF"/>
      <rgbColor rgb="FFFF99CC"/>
      <rgbColor rgb="FFCC99FF"/>
      <rgbColor rgb="FFFFCC99"/>
      <rgbColor rgb="FF1565C0"/>
      <rgbColor rgb="FF33CCCC"/>
      <rgbColor rgb="FF99CC00"/>
      <rgbColor rgb="FFFFCC00"/>
      <rgbColor rgb="FFB8860B"/>
      <rgbColor rgb="FFFF6600"/>
      <rgbColor rgb="FF6B7280"/>
      <rgbColor rgb="FFC9A84C"/>
      <rgbColor rgb="FF1F2D4E"/>
      <rgbColor rgb="FF16A085"/>
      <rgbColor rgb="FF003300"/>
      <rgbColor rgb="FF1B5E20"/>
      <rgbColor rgb="FFC62828"/>
      <rgbColor rgb="FF993366"/>
      <rgbColor rgb="FF1A237E"/>
      <rgbColor rgb="FF2C3E5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565C0"/>
  </sheetPr>
  <dimension ref="B2:D30"/>
  <sheetViews>
    <sheetView showGridLines="0" tabSelected="1" zoomScaleNormal="100" workbookViewId="0"/>
  </sheetViews>
  <sheetFormatPr defaultColWidth="8.6640625" defaultRowHeight="14.25" x14ac:dyDescent="0.45"/>
  <cols>
    <col min="1" max="1" width="3" customWidth="1"/>
    <col min="2" max="3" width="35" customWidth="1"/>
    <col min="4" max="4" width="20" customWidth="1"/>
    <col min="5" max="5" width="3" customWidth="1"/>
  </cols>
  <sheetData>
    <row r="2" spans="2:4" ht="21.75" customHeight="1" x14ac:dyDescent="0.45">
      <c r="B2" s="14" t="s">
        <v>0</v>
      </c>
      <c r="C2" s="14"/>
      <c r="D2" s="14"/>
    </row>
    <row r="3" spans="2:4" ht="36" customHeight="1" x14ac:dyDescent="0.45">
      <c r="B3" s="13" t="s">
        <v>1</v>
      </c>
      <c r="C3" s="13"/>
      <c r="D3" s="13"/>
    </row>
    <row r="4" spans="2:4" ht="21.75" customHeight="1" x14ac:dyDescent="0.45">
      <c r="B4" s="14" t="s">
        <v>2</v>
      </c>
      <c r="C4" s="14"/>
      <c r="D4" s="14"/>
    </row>
    <row r="5" spans="2:4" ht="19.5" customHeight="1" x14ac:dyDescent="0.45">
      <c r="B5" s="12" t="s">
        <v>3</v>
      </c>
      <c r="C5" s="12"/>
      <c r="D5" s="12"/>
    </row>
    <row r="6" spans="2:4" ht="19.5" customHeight="1" x14ac:dyDescent="0.45">
      <c r="B6" s="15"/>
      <c r="C6" s="15"/>
      <c r="D6" s="15"/>
    </row>
    <row r="7" spans="2:4" ht="19.5" customHeight="1" x14ac:dyDescent="0.45">
      <c r="B7" s="16" t="s">
        <v>4</v>
      </c>
      <c r="C7" s="11" t="s">
        <v>5</v>
      </c>
      <c r="D7" s="11"/>
    </row>
    <row r="8" spans="2:4" ht="19.5" customHeight="1" x14ac:dyDescent="0.45">
      <c r="B8" s="16" t="s">
        <v>6</v>
      </c>
      <c r="C8" s="11" t="s">
        <v>7</v>
      </c>
      <c r="D8" s="11"/>
    </row>
    <row r="9" spans="2:4" ht="19.5" customHeight="1" x14ac:dyDescent="0.45">
      <c r="B9" s="16" t="s">
        <v>8</v>
      </c>
      <c r="C9" s="11" t="s">
        <v>9</v>
      </c>
      <c r="D9" s="11"/>
    </row>
    <row r="10" spans="2:4" ht="19.5" customHeight="1" x14ac:dyDescent="0.45">
      <c r="B10" s="16" t="s">
        <v>10</v>
      </c>
      <c r="C10" s="11" t="s">
        <v>11</v>
      </c>
      <c r="D10" s="11"/>
    </row>
    <row r="11" spans="2:4" ht="19.5" customHeight="1" x14ac:dyDescent="0.45">
      <c r="B11" s="16" t="s">
        <v>12</v>
      </c>
      <c r="C11" s="10">
        <f>'Live Market Data'!C5</f>
        <v>89.16</v>
      </c>
      <c r="D11" s="10"/>
    </row>
    <row r="12" spans="2:4" ht="19.5" customHeight="1" x14ac:dyDescent="0.45">
      <c r="B12" s="16" t="s">
        <v>13</v>
      </c>
      <c r="C12" s="9">
        <f>'Live Market Data'!C7/1000</f>
        <v>98.075999999999993</v>
      </c>
      <c r="D12" s="9"/>
    </row>
    <row r="13" spans="2:4" ht="19.5" customHeight="1" x14ac:dyDescent="0.45">
      <c r="B13" s="16" t="s">
        <v>14</v>
      </c>
      <c r="C13" s="8">
        <f>'Live Market Data'!C10</f>
        <v>8.41</v>
      </c>
      <c r="D13" s="8"/>
    </row>
    <row r="14" spans="2:4" ht="19.5" customHeight="1" x14ac:dyDescent="0.45">
      <c r="B14" s="16" t="s">
        <v>15</v>
      </c>
      <c r="C14" s="8">
        <f>'Live Market Data'!C18</f>
        <v>0.92298136645962736</v>
      </c>
      <c r="D14" s="8"/>
    </row>
    <row r="15" spans="2:4" ht="19.5" customHeight="1" x14ac:dyDescent="0.45">
      <c r="B15" s="16" t="s">
        <v>16</v>
      </c>
      <c r="C15" s="7">
        <f>'Live Market Data'!C15</f>
        <v>5.7873485868102294E-2</v>
      </c>
      <c r="D15" s="7"/>
    </row>
    <row r="16" spans="2:4" ht="19.5" customHeight="1" x14ac:dyDescent="0.45">
      <c r="B16" s="16" t="s">
        <v>17</v>
      </c>
      <c r="C16" s="7">
        <f>'Live Market Data'!C20</f>
        <v>0</v>
      </c>
      <c r="D16" s="7"/>
    </row>
    <row r="17" spans="2:4" ht="19.5" customHeight="1" x14ac:dyDescent="0.45">
      <c r="B17" s="16" t="s">
        <v>18</v>
      </c>
      <c r="C17" s="6" t="s">
        <v>19</v>
      </c>
      <c r="D17" s="6"/>
    </row>
    <row r="18" spans="2:4" ht="19.5" customHeight="1" x14ac:dyDescent="0.45">
      <c r="B18" s="16" t="s">
        <v>20</v>
      </c>
      <c r="C18" s="5">
        <f>Assumptions!C68</f>
        <v>105.74106896551723</v>
      </c>
      <c r="D18" s="5"/>
    </row>
    <row r="19" spans="2:4" ht="19.5" customHeight="1" x14ac:dyDescent="0.45">
      <c r="B19" s="16" t="s">
        <v>21</v>
      </c>
      <c r="C19" s="4">
        <f>Assumptions!C68/'Live Market Data'!C5-1</f>
        <v>0.18596981791742073</v>
      </c>
      <c r="D19" s="4"/>
    </row>
    <row r="20" spans="2:4" ht="19.5" customHeight="1" x14ac:dyDescent="0.45">
      <c r="B20" s="16" t="s">
        <v>22</v>
      </c>
      <c r="C20" s="4">
        <f>Assumptions!C68/'Live Market Data'!C5-1+'Live Market Data'!C15</f>
        <v>0.24384330378552302</v>
      </c>
      <c r="D20" s="4"/>
    </row>
    <row r="21" spans="2:4" ht="19.5" customHeight="1" x14ac:dyDescent="0.45">
      <c r="B21" s="16" t="s">
        <v>23</v>
      </c>
      <c r="C21" s="11" t="s">
        <v>24</v>
      </c>
      <c r="D21" s="11"/>
    </row>
    <row r="22" spans="2:4" ht="19.5" customHeight="1" x14ac:dyDescent="0.45">
      <c r="B22" s="16" t="s">
        <v>25</v>
      </c>
      <c r="C22" s="11" t="s">
        <v>26</v>
      </c>
      <c r="D22" s="11"/>
    </row>
    <row r="23" spans="2:4" ht="19.5" customHeight="1" x14ac:dyDescent="0.45">
      <c r="B23" s="16" t="s">
        <v>27</v>
      </c>
      <c r="C23" s="11" t="s">
        <v>28</v>
      </c>
      <c r="D23" s="11"/>
    </row>
    <row r="25" spans="2:4" ht="6" customHeight="1" x14ac:dyDescent="0.45"/>
    <row r="26" spans="2:4" ht="79.5" customHeight="1" x14ac:dyDescent="0.45">
      <c r="B26" s="3" t="s">
        <v>29</v>
      </c>
      <c r="C26" s="3"/>
      <c r="D26" s="3"/>
    </row>
    <row r="27" spans="2:4" ht="15" customHeight="1" x14ac:dyDescent="0.45">
      <c r="B27" s="3"/>
      <c r="C27" s="3"/>
      <c r="D27" s="3"/>
    </row>
    <row r="28" spans="2:4" ht="15" customHeight="1" x14ac:dyDescent="0.45">
      <c r="B28" s="3"/>
      <c r="C28" s="3"/>
      <c r="D28" s="3"/>
    </row>
    <row r="29" spans="2:4" ht="15" customHeight="1" x14ac:dyDescent="0.45">
      <c r="B29" s="3"/>
      <c r="C29" s="3"/>
      <c r="D29" s="3"/>
    </row>
    <row r="30" spans="2:4" ht="21.75" customHeight="1" x14ac:dyDescent="0.45">
      <c r="B30" s="2" t="s">
        <v>30</v>
      </c>
      <c r="C30" s="2"/>
      <c r="D30" s="2"/>
    </row>
  </sheetData>
  <mergeCells count="23">
    <mergeCell ref="C23:D23"/>
    <mergeCell ref="B26:D29"/>
    <mergeCell ref="B30:D30"/>
    <mergeCell ref="C18:D18"/>
    <mergeCell ref="C19:D19"/>
    <mergeCell ref="C20:D20"/>
    <mergeCell ref="C21:D21"/>
    <mergeCell ref="C22:D22"/>
    <mergeCell ref="C13:D13"/>
    <mergeCell ref="C14:D14"/>
    <mergeCell ref="C15:D15"/>
    <mergeCell ref="C16:D16"/>
    <mergeCell ref="C17:D17"/>
    <mergeCell ref="C8:D8"/>
    <mergeCell ref="C9:D9"/>
    <mergeCell ref="C10:D10"/>
    <mergeCell ref="C11:D11"/>
    <mergeCell ref="C12:D12"/>
    <mergeCell ref="B2:D2"/>
    <mergeCell ref="B3:D3"/>
    <mergeCell ref="B4:D4"/>
    <mergeCell ref="B5:D5"/>
    <mergeCell ref="C7:D7"/>
  </mergeCells>
  <pageMargins left="0.75" right="0.75" top="1" bottom="1" header="0.511811023622047" footer="0.511811023622047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2C3E50"/>
  </sheetPr>
  <dimension ref="B1:D15"/>
  <sheetViews>
    <sheetView showGridLines="0" zoomScaleNormal="100" workbookViewId="0"/>
  </sheetViews>
  <sheetFormatPr defaultColWidth="8.6640625" defaultRowHeight="14.25" x14ac:dyDescent="0.45"/>
  <cols>
    <col min="1" max="1" width="3" customWidth="1"/>
    <col min="2" max="2" width="34" customWidth="1"/>
    <col min="3" max="3" width="48" customWidth="1"/>
    <col min="4" max="4" width="24" customWidth="1"/>
    <col min="5" max="5" width="3" customWidth="1"/>
  </cols>
  <sheetData>
    <row r="1" spans="2:4" ht="25.5" customHeight="1" x14ac:dyDescent="0.45">
      <c r="B1" s="1" t="s">
        <v>475</v>
      </c>
      <c r="C1" s="1"/>
      <c r="D1" s="1"/>
    </row>
    <row r="3" spans="2:4" ht="19.5" customHeight="1" x14ac:dyDescent="0.45">
      <c r="B3" s="51" t="s">
        <v>476</v>
      </c>
      <c r="C3" s="51" t="s">
        <v>477</v>
      </c>
      <c r="D3" s="51" t="s">
        <v>478</v>
      </c>
    </row>
    <row r="4" spans="2:4" ht="19.5" customHeight="1" x14ac:dyDescent="0.45">
      <c r="B4" s="214" t="s">
        <v>479</v>
      </c>
      <c r="C4" s="214"/>
      <c r="D4" s="214"/>
    </row>
    <row r="5" spans="2:4" ht="75.75" customHeight="1" x14ac:dyDescent="0.45">
      <c r="B5" s="187" t="s">
        <v>480</v>
      </c>
      <c r="C5" s="188" t="s">
        <v>481</v>
      </c>
      <c r="D5" s="189" t="s">
        <v>482</v>
      </c>
    </row>
    <row r="6" spans="2:4" ht="61.5" customHeight="1" x14ac:dyDescent="0.45">
      <c r="B6" s="187" t="s">
        <v>483</v>
      </c>
      <c r="C6" s="188" t="s">
        <v>484</v>
      </c>
      <c r="D6" s="189" t="s">
        <v>485</v>
      </c>
    </row>
    <row r="7" spans="2:4" ht="61.5" customHeight="1" x14ac:dyDescent="0.45">
      <c r="B7" s="187" t="s">
        <v>486</v>
      </c>
      <c r="C7" s="188" t="s">
        <v>487</v>
      </c>
      <c r="D7" s="189" t="s">
        <v>488</v>
      </c>
    </row>
    <row r="8" spans="2:4" ht="19.5" customHeight="1" x14ac:dyDescent="0.45">
      <c r="B8" s="215" t="s">
        <v>489</v>
      </c>
      <c r="C8" s="215"/>
      <c r="D8" s="215"/>
    </row>
    <row r="9" spans="2:4" ht="61.5" customHeight="1" x14ac:dyDescent="0.45">
      <c r="B9" s="190" t="s">
        <v>490</v>
      </c>
      <c r="C9" s="191" t="s">
        <v>491</v>
      </c>
      <c r="D9" s="192" t="s">
        <v>492</v>
      </c>
    </row>
    <row r="10" spans="2:4" ht="75.75" customHeight="1" x14ac:dyDescent="0.45">
      <c r="B10" s="190" t="s">
        <v>493</v>
      </c>
      <c r="C10" s="191" t="s">
        <v>494</v>
      </c>
      <c r="D10" s="192" t="s">
        <v>495</v>
      </c>
    </row>
    <row r="11" spans="2:4" ht="61.5" customHeight="1" x14ac:dyDescent="0.45">
      <c r="B11" s="190" t="s">
        <v>496</v>
      </c>
      <c r="C11" s="191" t="s">
        <v>497</v>
      </c>
      <c r="D11" s="192" t="s">
        <v>498</v>
      </c>
    </row>
    <row r="12" spans="2:4" ht="19.5" customHeight="1" x14ac:dyDescent="0.45">
      <c r="B12" s="216" t="s">
        <v>499</v>
      </c>
      <c r="C12" s="216"/>
      <c r="D12" s="216"/>
    </row>
    <row r="13" spans="2:4" ht="61.5" customHeight="1" x14ac:dyDescent="0.45">
      <c r="B13" s="193" t="s">
        <v>500</v>
      </c>
      <c r="C13" s="194" t="s">
        <v>501</v>
      </c>
      <c r="D13" s="195" t="s">
        <v>502</v>
      </c>
    </row>
    <row r="14" spans="2:4" ht="75.75" customHeight="1" x14ac:dyDescent="0.45">
      <c r="B14" s="193" t="s">
        <v>503</v>
      </c>
      <c r="C14" s="194" t="s">
        <v>504</v>
      </c>
      <c r="D14" s="195" t="s">
        <v>505</v>
      </c>
    </row>
    <row r="15" spans="2:4" ht="75.75" customHeight="1" x14ac:dyDescent="0.45">
      <c r="B15" s="193" t="s">
        <v>506</v>
      </c>
      <c r="C15" s="194" t="s">
        <v>507</v>
      </c>
      <c r="D15" s="195" t="s">
        <v>508</v>
      </c>
    </row>
  </sheetData>
  <mergeCells count="4">
    <mergeCell ref="B1:D1"/>
    <mergeCell ref="B4:D4"/>
    <mergeCell ref="B8:D8"/>
    <mergeCell ref="B12:D12"/>
  </mergeCells>
  <pageMargins left="0.75" right="0.75" top="1" bottom="1" header="0.511811023622047" footer="0.511811023622047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16A085"/>
  </sheetPr>
  <dimension ref="B1:B20"/>
  <sheetViews>
    <sheetView showGridLines="0" zoomScaleNormal="100" workbookViewId="0"/>
  </sheetViews>
  <sheetFormatPr defaultColWidth="8.6640625" defaultRowHeight="14.25" x14ac:dyDescent="0.45"/>
  <cols>
    <col min="1" max="1" width="3" customWidth="1"/>
    <col min="2" max="2" width="70" customWidth="1"/>
    <col min="3" max="3" width="3" customWidth="1"/>
  </cols>
  <sheetData>
    <row r="1" spans="2:2" ht="30" customHeight="1" x14ac:dyDescent="0.45">
      <c r="B1" s="196" t="s">
        <v>509</v>
      </c>
    </row>
    <row r="3" spans="2:2" ht="27.75" customHeight="1" x14ac:dyDescent="0.45">
      <c r="B3" s="197" t="s">
        <v>18</v>
      </c>
    </row>
    <row r="4" spans="2:2" ht="30" customHeight="1" x14ac:dyDescent="0.45">
      <c r="B4" s="198" t="str">
        <f>"BUY  |  12-Month Target: " &amp; TEXT(Assumptions!C68,"€#,##0.00") &amp; "  |  Upside: " &amp; TEXT(Assumptions!C69,"0.0%") &amp; "  |  Dividend Yield: " &amp; TEXT('Live Market Data'!C15,"0.00%") &amp; "  |  Total Return: " &amp; TEXT(Assumptions!C71,"0.0%")</f>
        <v>BUY  |  12-Month Target: €105.74  |  Upside: 18.6%  |  Dividend Yield: 5.79%  |  Total Return: 24.4%</v>
      </c>
    </row>
    <row r="6" spans="2:2" ht="25.5" customHeight="1" x14ac:dyDescent="0.45">
      <c r="B6" s="199" t="s">
        <v>510</v>
      </c>
    </row>
    <row r="7" spans="2:2" ht="79.5" customHeight="1" x14ac:dyDescent="0.45">
      <c r="B7" s="200" t="str">
        <f>"BNP Paribas at " &amp; TEXT('Live Market Data'!C5,"€#,##0.00") &amp; " is the most compelling large-cap European bank investment in May 2026. " &amp; "At " &amp; TEXT('Live Market Data'!C18,"0.00") &amp; "x tangible book and " &amp; TEXT('Live Market Data'!C10,"0.00") &amp; _xlfn._LONGTEXT("x trailing P/E, it trades at a 32% discount to peers. Q1 2026 was a record (Net Income €3.2bn, +9% YoY, RoTE 12.8% above 12% full-year target). Three catalysts converge: (1) CET1 reaches 13% by YE2026 unlocking excess capital, (2) AXA IM transformation (€","2.46tn AUM, top-3 Europe, €550m synergies by 2029), (3) CPBS NII structural recovery through 2030. Total return ~24% (price + dividend) at modest assumptions.")</f>
        <v>BNP Paribas at €89.16 is the most compelling large-cap European bank investment in May 2026. At 0.92x tangible book and 8.41x trailing P/E, it trades at a 32% discount to peers. Q1 2026 was a record (Net Income €3.2bn, +9% YoY, RoTE 12.8% above 12% full-year target). Three catalysts converge: (1) CET1 reaches 13% by YE2026 unlocking excess capital, (2) AXA IM transformation (€2.46tn AUM, top-3 Europe, €550m synergies by 2029), (3) CPBS NII structural recovery through 2030. Total return ~24% (price + dividend) at modest assumptions.</v>
      </c>
    </row>
    <row r="8" spans="2:2" ht="25.5" customHeight="1" x14ac:dyDescent="0.45">
      <c r="B8" s="201" t="s">
        <v>511</v>
      </c>
    </row>
    <row r="9" spans="2:2" ht="120" customHeight="1" x14ac:dyDescent="0.45">
      <c r="B9" s="200" t="str">
        <f>"Target: " &amp; TEXT(Assumptions!C50,"€#,##0.00") &amp; " | What has to go right: French OAT-Bund spread narrows from 86bps toward 50bps historical average. AXA IM synergies ahead of schedule. CET1 reaches 13% by Q3 2026, triggering early buyback announcement. P/E re-rates to sector median 9.5x. " &amp; "Total return: ~34% (price + dividend). " &amp; "Trigger: CET1 &gt;=13% at Q2 2026 results (23 July 2026) + France budget clarity."</f>
        <v>Target: €111.53 | What has to go right: French OAT-Bund spread narrows from 86bps toward 50bps historical average. AXA IM synergies ahead of schedule. CET1 reaches 13% by Q3 2026, triggering early buyback announcement. P/E re-rates to sector median 9.5x. Total return: ~34% (price + dividend). Trigger: CET1 &gt;=13% at Q2 2026 results (23 July 2026) + France budget clarity.</v>
      </c>
    </row>
    <row r="10" spans="2:2" ht="25.5" customHeight="1" x14ac:dyDescent="0.45">
      <c r="B10" s="202" t="s">
        <v>512</v>
      </c>
    </row>
    <row r="11" spans="2:2" ht="109.5" customHeight="1" x14ac:dyDescent="0.45">
      <c r="B11" s="200" t="str">
        <f>"Target: " &amp; TEXT(Assumptions!C51,"€#,##0.00") &amp; " | Most likely scenario: French sovereign risk stable. AXA IM integration on plan. CET1 reaches 13% by YE2026 or Q1 2027. FY2026 net income ~€13.1bn (+7% YoY). P/E re-rates modestly. Dividend grows ~7%. " &amp; "Total return: ~24% (price " &amp; TEXT(Assumptions!C69,"+0.0%") &amp; " + dividend " &amp; TEXT('Live Market Data'!C15,"0.0%") &amp; ")."</f>
        <v>Target: €89.22 | Most likely scenario: French sovereign risk stable. AXA IM integration on plan. CET1 reaches 13% by YE2026 or Q1 2027. FY2026 net income ~€13.1bn (+7% YoY). P/E re-rates modestly. Dividend grows ~7%. Total return: ~24% (price +18.6% + dividend 5.8%).</v>
      </c>
    </row>
    <row r="12" spans="2:2" ht="25.5" customHeight="1" x14ac:dyDescent="0.45">
      <c r="B12" s="203" t="s">
        <v>513</v>
      </c>
    </row>
    <row r="13" spans="2:2" ht="109.5" customHeight="1" x14ac:dyDescent="0.45">
      <c r="B13" s="200" t="str">
        <f>"Target: " &amp; TEXT(Assumptions!C52,"€#,##0.00") &amp; _xlfn._LONGTEXT(" | What could go wrong: French sovereign crisis (S&amp;P downgrades to BBB) + OAT-Bund widens to 150bps. AXA IM net outflows from key person defection. European recession: CoR spikes to 80-100bps. ECB cuts to 1.0%. Multi-factor simultaneous deterioration — lo","w probability.")</f>
        <v>Target: €52.50 | What could go wrong: French sovereign crisis (S&amp;P downgrades to BBB) + OAT-Bund widens to 150bps. AXA IM net outflows from key person defection. European recession: CoR spikes to 80-100bps. ECB cuts to 1.0%. Multi-factor simultaneous deterioration — low probability.</v>
      </c>
    </row>
    <row r="14" spans="2:2" ht="25.5" customHeight="1" x14ac:dyDescent="0.45">
      <c r="B14" s="204" t="s">
        <v>514</v>
      </c>
    </row>
    <row r="15" spans="2:2" ht="150" customHeight="1" x14ac:dyDescent="0.45">
      <c r="B15" s="200" t="s">
        <v>515</v>
      </c>
    </row>
    <row r="16" spans="2:2" ht="25.5" customHeight="1" x14ac:dyDescent="0.45">
      <c r="B16" s="205" t="s">
        <v>516</v>
      </c>
    </row>
    <row r="17" spans="2:2" ht="129.75" customHeight="1" x14ac:dyDescent="0.45">
      <c r="B17" s="200" t="s">
        <v>517</v>
      </c>
    </row>
    <row r="18" spans="2:2" ht="25.5" customHeight="1" x14ac:dyDescent="0.45">
      <c r="B18" s="26" t="s">
        <v>518</v>
      </c>
    </row>
    <row r="19" spans="2:2" ht="79.5" customHeight="1" x14ac:dyDescent="0.45">
      <c r="B19" s="206" t="s">
        <v>519</v>
      </c>
    </row>
    <row r="20" spans="2:2" ht="79.5" customHeight="1" x14ac:dyDescent="0.45">
      <c r="B20" s="17" t="s">
        <v>520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B8860B"/>
  </sheetPr>
  <dimension ref="B1:F34"/>
  <sheetViews>
    <sheetView showGridLines="0" zoomScaleNormal="100" workbookViewId="0"/>
  </sheetViews>
  <sheetFormatPr defaultColWidth="8.6640625" defaultRowHeight="14.25" x14ac:dyDescent="0.45"/>
  <cols>
    <col min="1" max="1" width="3" customWidth="1"/>
    <col min="2" max="2" width="44" customWidth="1"/>
    <col min="3" max="3" width="22" customWidth="1"/>
    <col min="4" max="4" width="16" customWidth="1"/>
    <col min="5" max="5" width="18" customWidth="1"/>
    <col min="6" max="6" width="56" customWidth="1"/>
    <col min="7" max="7" width="3" customWidth="1"/>
  </cols>
  <sheetData>
    <row r="1" spans="2:6" ht="27.75" customHeight="1" x14ac:dyDescent="0.45">
      <c r="B1" s="1" t="s">
        <v>31</v>
      </c>
      <c r="C1" s="1"/>
      <c r="D1" s="1"/>
      <c r="E1" s="1"/>
      <c r="F1" s="1"/>
    </row>
    <row r="2" spans="2:6" ht="37.5" customHeight="1" x14ac:dyDescent="0.45">
      <c r="B2" s="207" t="s">
        <v>32</v>
      </c>
      <c r="C2" s="207"/>
      <c r="D2" s="207"/>
      <c r="E2" s="207"/>
      <c r="F2" s="207"/>
    </row>
    <row r="3" spans="2:6" ht="21.75" customHeight="1" x14ac:dyDescent="0.45">
      <c r="B3" s="18" t="s">
        <v>33</v>
      </c>
      <c r="C3" s="18" t="s">
        <v>34</v>
      </c>
      <c r="D3" s="18" t="s">
        <v>35</v>
      </c>
      <c r="E3" s="18" t="s">
        <v>36</v>
      </c>
      <c r="F3" s="18" t="s">
        <v>37</v>
      </c>
    </row>
    <row r="4" spans="2:6" ht="21.75" customHeight="1" x14ac:dyDescent="0.45">
      <c r="B4" s="208" t="s">
        <v>38</v>
      </c>
      <c r="C4" s="208"/>
      <c r="D4" s="208"/>
      <c r="E4" s="208"/>
      <c r="F4" s="208"/>
    </row>
    <row r="5" spans="2:6" ht="21.75" customHeight="1" x14ac:dyDescent="0.45">
      <c r="B5" s="19" t="s">
        <v>39</v>
      </c>
      <c r="C5" s="20">
        <v>89.16</v>
      </c>
      <c r="D5" s="21" t="s">
        <v>40</v>
      </c>
      <c r="E5" s="22" t="s">
        <v>41</v>
      </c>
      <c r="F5" s="23" t="s">
        <v>42</v>
      </c>
    </row>
    <row r="6" spans="2:6" ht="21.75" customHeight="1" x14ac:dyDescent="0.45">
      <c r="B6" s="19" t="s">
        <v>43</v>
      </c>
      <c r="C6" s="24">
        <v>1100</v>
      </c>
      <c r="D6" s="21" t="s">
        <v>44</v>
      </c>
      <c r="E6" s="25" t="s">
        <v>45</v>
      </c>
      <c r="F6" s="23" t="s">
        <v>46</v>
      </c>
    </row>
    <row r="7" spans="2:6" ht="21.75" customHeight="1" x14ac:dyDescent="0.45">
      <c r="B7" s="26" t="s">
        <v>47</v>
      </c>
      <c r="C7" s="27">
        <f>C5*C6</f>
        <v>98076</v>
      </c>
      <c r="D7" s="28" t="s">
        <v>48</v>
      </c>
      <c r="E7" s="29" t="s">
        <v>49</v>
      </c>
      <c r="F7" s="30" t="s">
        <v>50</v>
      </c>
    </row>
    <row r="9" spans="2:6" ht="21.75" customHeight="1" x14ac:dyDescent="0.45">
      <c r="B9" s="208" t="s">
        <v>51</v>
      </c>
      <c r="C9" s="208"/>
      <c r="D9" s="208"/>
      <c r="E9" s="208"/>
      <c r="F9" s="208"/>
    </row>
    <row r="10" spans="2:6" ht="21.75" customHeight="1" x14ac:dyDescent="0.45">
      <c r="B10" s="19" t="s">
        <v>52</v>
      </c>
      <c r="C10" s="31">
        <v>8.41</v>
      </c>
      <c r="D10" s="21" t="s">
        <v>53</v>
      </c>
      <c r="E10" s="22" t="s">
        <v>41</v>
      </c>
      <c r="F10" s="23" t="s">
        <v>54</v>
      </c>
    </row>
    <row r="11" spans="2:6" ht="21.75" customHeight="1" x14ac:dyDescent="0.45">
      <c r="B11" s="32" t="s">
        <v>55</v>
      </c>
      <c r="C11" s="33">
        <f>C5/C10</f>
        <v>10.60166468489893</v>
      </c>
      <c r="D11" s="34" t="s">
        <v>56</v>
      </c>
      <c r="E11" s="29" t="s">
        <v>57</v>
      </c>
      <c r="F11" s="30" t="s">
        <v>58</v>
      </c>
    </row>
    <row r="12" spans="2:6" ht="21.75" customHeight="1" x14ac:dyDescent="0.45">
      <c r="B12" s="19" t="s">
        <v>59</v>
      </c>
      <c r="C12" s="31">
        <v>7.6</v>
      </c>
      <c r="D12" s="21" t="s">
        <v>60</v>
      </c>
      <c r="E12" s="22" t="s">
        <v>61</v>
      </c>
      <c r="F12" s="23" t="s">
        <v>62</v>
      </c>
    </row>
    <row r="13" spans="2:6" ht="21.75" customHeight="1" x14ac:dyDescent="0.45">
      <c r="B13" s="19" t="s">
        <v>63</v>
      </c>
      <c r="C13" s="20">
        <v>107.4</v>
      </c>
      <c r="D13" s="21" t="s">
        <v>56</v>
      </c>
      <c r="E13" s="25" t="s">
        <v>64</v>
      </c>
      <c r="F13" s="23" t="s">
        <v>65</v>
      </c>
    </row>
    <row r="14" spans="2:6" ht="21.75" customHeight="1" x14ac:dyDescent="0.45">
      <c r="B14" s="35" t="s">
        <v>66</v>
      </c>
      <c r="C14" s="36">
        <v>96.6</v>
      </c>
      <c r="D14" s="37" t="s">
        <v>56</v>
      </c>
      <c r="E14" s="25" t="s">
        <v>64</v>
      </c>
      <c r="F14" s="23" t="s">
        <v>67</v>
      </c>
    </row>
    <row r="15" spans="2:6" ht="21.75" customHeight="1" x14ac:dyDescent="0.45">
      <c r="B15" s="38" t="s">
        <v>68</v>
      </c>
      <c r="C15" s="39">
        <f>C16/C5</f>
        <v>5.7873485868102294E-2</v>
      </c>
      <c r="D15" s="40" t="s">
        <v>69</v>
      </c>
      <c r="E15" s="41" t="s">
        <v>70</v>
      </c>
      <c r="F15" s="42" t="s">
        <v>71</v>
      </c>
    </row>
    <row r="16" spans="2:6" ht="21.75" customHeight="1" x14ac:dyDescent="0.45">
      <c r="B16" s="19" t="s">
        <v>72</v>
      </c>
      <c r="C16" s="20">
        <v>5.16</v>
      </c>
      <c r="D16" s="21" t="s">
        <v>56</v>
      </c>
      <c r="E16" s="25" t="s">
        <v>73</v>
      </c>
      <c r="F16" s="23" t="s">
        <v>74</v>
      </c>
    </row>
    <row r="17" spans="2:6" ht="21.75" customHeight="1" x14ac:dyDescent="0.45">
      <c r="B17" s="19" t="s">
        <v>75</v>
      </c>
      <c r="C17" s="43">
        <f>C5/C13</f>
        <v>0.83016759776536309</v>
      </c>
      <c r="D17" s="21" t="s">
        <v>76</v>
      </c>
      <c r="E17" s="44" t="s">
        <v>77</v>
      </c>
      <c r="F17" s="23" t="s">
        <v>78</v>
      </c>
    </row>
    <row r="18" spans="2:6" ht="21.75" customHeight="1" x14ac:dyDescent="0.45">
      <c r="B18" s="38" t="s">
        <v>79</v>
      </c>
      <c r="C18" s="45">
        <f>C5/C14</f>
        <v>0.92298136645962736</v>
      </c>
      <c r="D18" s="40" t="s">
        <v>80</v>
      </c>
      <c r="E18" s="41" t="s">
        <v>81</v>
      </c>
      <c r="F18" s="42" t="s">
        <v>82</v>
      </c>
    </row>
    <row r="19" spans="2:6" ht="21.75" customHeight="1" x14ac:dyDescent="0.45">
      <c r="B19" s="19" t="s">
        <v>83</v>
      </c>
      <c r="C19" s="46" t="s">
        <v>84</v>
      </c>
      <c r="D19" s="21" t="s">
        <v>85</v>
      </c>
      <c r="E19" s="22" t="s">
        <v>86</v>
      </c>
      <c r="F19" s="23" t="s">
        <v>87</v>
      </c>
    </row>
    <row r="20" spans="2:6" ht="21.75" customHeight="1" x14ac:dyDescent="0.45">
      <c r="B20" s="208" t="s">
        <v>88</v>
      </c>
      <c r="C20" s="208"/>
      <c r="D20" s="208"/>
      <c r="E20" s="208"/>
      <c r="F20" s="208"/>
    </row>
    <row r="21" spans="2:6" ht="21.75" customHeight="1" x14ac:dyDescent="0.45">
      <c r="B21" s="35" t="s">
        <v>89</v>
      </c>
      <c r="C21" s="47">
        <v>0.128</v>
      </c>
      <c r="D21" s="37" t="s">
        <v>69</v>
      </c>
      <c r="E21" s="25" t="s">
        <v>90</v>
      </c>
      <c r="F21" s="23" t="s">
        <v>91</v>
      </c>
    </row>
    <row r="22" spans="2:6" ht="21.75" customHeight="1" x14ac:dyDescent="0.45">
      <c r="B22" s="19" t="s">
        <v>92</v>
      </c>
      <c r="C22" s="48">
        <v>3217</v>
      </c>
      <c r="D22" s="21" t="s">
        <v>48</v>
      </c>
      <c r="E22" s="25" t="s">
        <v>90</v>
      </c>
      <c r="F22" s="23" t="s">
        <v>93</v>
      </c>
    </row>
    <row r="23" spans="2:6" ht="21.75" customHeight="1" x14ac:dyDescent="0.45">
      <c r="B23" s="19" t="s">
        <v>94</v>
      </c>
      <c r="C23" s="48">
        <v>14056</v>
      </c>
      <c r="D23" s="21" t="s">
        <v>48</v>
      </c>
      <c r="E23" s="25" t="s">
        <v>90</v>
      </c>
      <c r="F23" s="23" t="s">
        <v>95</v>
      </c>
    </row>
    <row r="24" spans="2:6" ht="21.75" customHeight="1" x14ac:dyDescent="0.45">
      <c r="B24" s="35" t="s">
        <v>96</v>
      </c>
      <c r="C24" s="47">
        <v>0.128</v>
      </c>
      <c r="D24" s="37" t="s">
        <v>69</v>
      </c>
      <c r="E24" s="25" t="s">
        <v>90</v>
      </c>
      <c r="F24" s="23" t="s">
        <v>97</v>
      </c>
    </row>
    <row r="25" spans="2:6" ht="21.75" customHeight="1" x14ac:dyDescent="0.45">
      <c r="B25" s="208" t="s">
        <v>98</v>
      </c>
      <c r="C25" s="208"/>
      <c r="D25" s="208"/>
      <c r="E25" s="208"/>
      <c r="F25" s="208"/>
    </row>
    <row r="26" spans="2:6" ht="21.75" customHeight="1" x14ac:dyDescent="0.45">
      <c r="B26" s="35" t="s">
        <v>99</v>
      </c>
      <c r="C26" s="49">
        <v>12225</v>
      </c>
      <c r="D26" s="37" t="s">
        <v>48</v>
      </c>
      <c r="E26" s="25" t="s">
        <v>100</v>
      </c>
      <c r="F26" s="23" t="s">
        <v>101</v>
      </c>
    </row>
    <row r="27" spans="2:6" ht="21.75" customHeight="1" x14ac:dyDescent="0.45">
      <c r="B27" s="19" t="s">
        <v>102</v>
      </c>
      <c r="C27" s="48">
        <v>51223</v>
      </c>
      <c r="D27" s="21" t="s">
        <v>48</v>
      </c>
      <c r="E27" s="25" t="s">
        <v>100</v>
      </c>
      <c r="F27" s="23" t="s">
        <v>103</v>
      </c>
    </row>
    <row r="28" spans="2:6" ht="21.75" customHeight="1" x14ac:dyDescent="0.45">
      <c r="B28" s="19" t="s">
        <v>104</v>
      </c>
      <c r="C28" s="20">
        <v>10.29</v>
      </c>
      <c r="D28" s="21" t="s">
        <v>56</v>
      </c>
      <c r="E28" s="25" t="s">
        <v>100</v>
      </c>
      <c r="F28" s="23" t="s">
        <v>105</v>
      </c>
    </row>
    <row r="29" spans="2:6" ht="21.75" customHeight="1" x14ac:dyDescent="0.45">
      <c r="B29" s="35" t="s">
        <v>106</v>
      </c>
      <c r="C29" s="47">
        <v>0.11600000000000001</v>
      </c>
      <c r="D29" s="37" t="s">
        <v>69</v>
      </c>
      <c r="E29" s="25" t="s">
        <v>100</v>
      </c>
      <c r="F29" s="23" t="s">
        <v>107</v>
      </c>
    </row>
    <row r="30" spans="2:6" ht="21.75" customHeight="1" x14ac:dyDescent="0.45">
      <c r="B30" s="208" t="s">
        <v>108</v>
      </c>
      <c r="C30" s="208"/>
      <c r="D30" s="208"/>
      <c r="E30" s="208"/>
      <c r="F30" s="208"/>
    </row>
    <row r="31" spans="2:6" ht="21.75" customHeight="1" x14ac:dyDescent="0.45">
      <c r="B31" s="19" t="s">
        <v>109</v>
      </c>
      <c r="C31" s="46" t="s">
        <v>110</v>
      </c>
      <c r="D31" s="21" t="s">
        <v>111</v>
      </c>
      <c r="E31" s="22" t="s">
        <v>112</v>
      </c>
      <c r="F31" s="23" t="s">
        <v>113</v>
      </c>
    </row>
    <row r="32" spans="2:6" ht="21.75" customHeight="1" x14ac:dyDescent="0.45">
      <c r="B32" s="35" t="s">
        <v>114</v>
      </c>
      <c r="C32" s="36">
        <v>101.45</v>
      </c>
      <c r="D32" s="37" t="s">
        <v>56</v>
      </c>
      <c r="E32" s="22" t="s">
        <v>115</v>
      </c>
      <c r="F32" s="23" t="s">
        <v>116</v>
      </c>
    </row>
    <row r="33" spans="2:6" ht="21.75" customHeight="1" x14ac:dyDescent="0.45">
      <c r="B33" s="19" t="s">
        <v>117</v>
      </c>
      <c r="C33" s="50">
        <f>C32/C5-1</f>
        <v>0.13784208165096468</v>
      </c>
      <c r="D33" s="21" t="s">
        <v>69</v>
      </c>
      <c r="E33" s="44" t="s">
        <v>118</v>
      </c>
      <c r="F33" s="23" t="s">
        <v>119</v>
      </c>
    </row>
    <row r="34" spans="2:6" ht="21.75" customHeight="1" x14ac:dyDescent="0.45">
      <c r="B34" s="19" t="s">
        <v>120</v>
      </c>
      <c r="C34" s="20">
        <v>111</v>
      </c>
      <c r="D34" s="21" t="s">
        <v>56</v>
      </c>
      <c r="E34" s="22" t="s">
        <v>121</v>
      </c>
      <c r="F34" s="23" t="s">
        <v>122</v>
      </c>
    </row>
  </sheetData>
  <mergeCells count="7">
    <mergeCell ref="B25:F25"/>
    <mergeCell ref="B30:F30"/>
    <mergeCell ref="B1:F1"/>
    <mergeCell ref="B2:F2"/>
    <mergeCell ref="B4:F4"/>
    <mergeCell ref="B9:F9"/>
    <mergeCell ref="B20:F20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9A84C"/>
  </sheetPr>
  <dimension ref="B1:F71"/>
  <sheetViews>
    <sheetView showGridLine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8.6640625" defaultRowHeight="14.25" x14ac:dyDescent="0.45"/>
  <cols>
    <col min="1" max="1" width="3" customWidth="1"/>
    <col min="2" max="2" width="44" customWidth="1"/>
    <col min="3" max="4" width="16" customWidth="1"/>
    <col min="5" max="5" width="56" customWidth="1"/>
    <col min="6" max="6" width="14" customWidth="1"/>
    <col min="7" max="7" width="3" customWidth="1"/>
  </cols>
  <sheetData>
    <row r="1" spans="2:6" ht="25.5" customHeight="1" x14ac:dyDescent="0.45">
      <c r="B1" s="1" t="s">
        <v>123</v>
      </c>
      <c r="C1" s="1"/>
      <c r="D1" s="1"/>
      <c r="E1" s="1"/>
      <c r="F1" s="1"/>
    </row>
    <row r="2" spans="2:6" ht="37.5" customHeight="1" x14ac:dyDescent="0.45">
      <c r="B2" s="207" t="s">
        <v>124</v>
      </c>
      <c r="C2" s="207"/>
      <c r="D2" s="207"/>
      <c r="E2" s="207"/>
      <c r="F2" s="207"/>
    </row>
    <row r="3" spans="2:6" ht="19.5" customHeight="1" x14ac:dyDescent="0.45">
      <c r="B3" s="51" t="s">
        <v>125</v>
      </c>
      <c r="C3" s="51" t="s">
        <v>34</v>
      </c>
      <c r="D3" s="51" t="s">
        <v>126</v>
      </c>
      <c r="E3" s="51" t="s">
        <v>127</v>
      </c>
      <c r="F3" s="51" t="s">
        <v>128</v>
      </c>
    </row>
    <row r="4" spans="2:6" ht="21.75" customHeight="1" x14ac:dyDescent="0.45">
      <c r="B4" s="208" t="s">
        <v>129</v>
      </c>
      <c r="C4" s="208"/>
      <c r="D4" s="208"/>
      <c r="E4" s="208"/>
      <c r="F4" s="208"/>
    </row>
    <row r="5" spans="2:6" ht="24" customHeight="1" x14ac:dyDescent="0.45">
      <c r="B5" s="19" t="s">
        <v>130</v>
      </c>
      <c r="C5" s="52">
        <v>3.3000000000000002E-2</v>
      </c>
      <c r="D5" s="21" t="s">
        <v>131</v>
      </c>
      <c r="E5" s="23" t="s">
        <v>132</v>
      </c>
      <c r="F5" s="53" t="s">
        <v>133</v>
      </c>
    </row>
    <row r="6" spans="2:6" ht="24" customHeight="1" x14ac:dyDescent="0.45">
      <c r="B6" s="19" t="s">
        <v>134</v>
      </c>
      <c r="C6" s="52">
        <v>5.5E-2</v>
      </c>
      <c r="D6" s="21" t="s">
        <v>131</v>
      </c>
      <c r="E6" s="23" t="s">
        <v>135</v>
      </c>
      <c r="F6" s="53" t="s">
        <v>133</v>
      </c>
    </row>
    <row r="7" spans="2:6" ht="24" customHeight="1" x14ac:dyDescent="0.45">
      <c r="B7" s="19" t="s">
        <v>136</v>
      </c>
      <c r="C7" s="54">
        <v>1</v>
      </c>
      <c r="D7" s="21" t="s">
        <v>137</v>
      </c>
      <c r="E7" s="23" t="s">
        <v>138</v>
      </c>
      <c r="F7" s="55" t="s">
        <v>139</v>
      </c>
    </row>
    <row r="8" spans="2:6" ht="24" customHeight="1" x14ac:dyDescent="0.45">
      <c r="B8" s="19" t="s">
        <v>140</v>
      </c>
      <c r="C8" s="52">
        <v>5.0000000000000001E-3</v>
      </c>
      <c r="D8" s="21" t="s">
        <v>131</v>
      </c>
      <c r="E8" s="23" t="s">
        <v>141</v>
      </c>
      <c r="F8" s="55" t="s">
        <v>139</v>
      </c>
    </row>
    <row r="9" spans="2:6" ht="25.5" customHeight="1" x14ac:dyDescent="0.45">
      <c r="B9" s="38" t="s">
        <v>142</v>
      </c>
      <c r="C9" s="56">
        <f>C5+C7*C6+C8</f>
        <v>9.2999999999999999E-2</v>
      </c>
      <c r="D9" s="40" t="s">
        <v>131</v>
      </c>
      <c r="E9" s="42" t="s">
        <v>143</v>
      </c>
      <c r="F9" s="57" t="s">
        <v>144</v>
      </c>
    </row>
    <row r="11" spans="2:6" ht="21.75" customHeight="1" x14ac:dyDescent="0.45">
      <c r="B11" s="208" t="s">
        <v>145</v>
      </c>
      <c r="C11" s="208"/>
      <c r="D11" s="208"/>
      <c r="E11" s="208"/>
      <c r="F11" s="208"/>
    </row>
    <row r="12" spans="2:6" ht="24" customHeight="1" x14ac:dyDescent="0.45">
      <c r="B12" s="19" t="s">
        <v>146</v>
      </c>
      <c r="C12" s="58">
        <v>0.12</v>
      </c>
      <c r="D12" s="21" t="s">
        <v>147</v>
      </c>
      <c r="E12" s="23" t="s">
        <v>148</v>
      </c>
      <c r="F12" s="53" t="s">
        <v>133</v>
      </c>
    </row>
    <row r="13" spans="2:6" ht="24" customHeight="1" x14ac:dyDescent="0.45">
      <c r="B13" s="19" t="s">
        <v>149</v>
      </c>
      <c r="C13" s="58">
        <v>0.13500000000000001</v>
      </c>
      <c r="D13" s="21" t="s">
        <v>147</v>
      </c>
      <c r="E13" s="23" t="s">
        <v>150</v>
      </c>
      <c r="F13" s="53" t="s">
        <v>133</v>
      </c>
    </row>
    <row r="14" spans="2:6" ht="24" customHeight="1" x14ac:dyDescent="0.45">
      <c r="B14" s="26" t="s">
        <v>151</v>
      </c>
      <c r="C14" s="59">
        <f>'Live Market Data'!C14</f>
        <v>96.6</v>
      </c>
      <c r="D14" s="28" t="s">
        <v>56</v>
      </c>
      <c r="E14" s="30" t="s">
        <v>152</v>
      </c>
      <c r="F14" s="60" t="s">
        <v>153</v>
      </c>
    </row>
    <row r="15" spans="2:6" ht="24" customHeight="1" x14ac:dyDescent="0.45">
      <c r="B15" s="19" t="s">
        <v>154</v>
      </c>
      <c r="C15" s="58">
        <v>7.4999999999999997E-2</v>
      </c>
      <c r="D15" s="21" t="s">
        <v>155</v>
      </c>
      <c r="E15" s="23" t="s">
        <v>156</v>
      </c>
      <c r="F15" s="55" t="s">
        <v>139</v>
      </c>
    </row>
    <row r="16" spans="2:6" ht="24" customHeight="1" x14ac:dyDescent="0.45">
      <c r="B16" s="26" t="s">
        <v>157</v>
      </c>
      <c r="C16" s="61">
        <f>C14*(1+C15)</f>
        <v>103.84499999999998</v>
      </c>
      <c r="D16" s="28" t="s">
        <v>56</v>
      </c>
      <c r="E16" s="30" t="s">
        <v>158</v>
      </c>
      <c r="F16" s="62" t="s">
        <v>144</v>
      </c>
    </row>
    <row r="17" spans="2:6" ht="24" customHeight="1" x14ac:dyDescent="0.45">
      <c r="B17" s="26" t="s">
        <v>159</v>
      </c>
      <c r="C17" s="61">
        <f>C14*(1+C15)^3</f>
        <v>120.00587812499998</v>
      </c>
      <c r="D17" s="28" t="s">
        <v>56</v>
      </c>
      <c r="E17" s="30" t="s">
        <v>160</v>
      </c>
      <c r="F17" s="62" t="s">
        <v>144</v>
      </c>
    </row>
    <row r="19" spans="2:6" ht="21.75" customHeight="1" x14ac:dyDescent="0.45">
      <c r="B19" s="208" t="s">
        <v>161</v>
      </c>
      <c r="C19" s="208"/>
      <c r="D19" s="208"/>
      <c r="E19" s="208"/>
      <c r="F19" s="208"/>
    </row>
    <row r="20" spans="2:6" ht="24" customHeight="1" x14ac:dyDescent="0.45">
      <c r="B20" s="19" t="s">
        <v>162</v>
      </c>
      <c r="C20" s="58">
        <v>3.5000000000000003E-2</v>
      </c>
      <c r="D20" s="21" t="s">
        <v>131</v>
      </c>
      <c r="E20" s="23" t="s">
        <v>163</v>
      </c>
      <c r="F20" s="55" t="s">
        <v>139</v>
      </c>
    </row>
    <row r="21" spans="2:6" ht="24" customHeight="1" x14ac:dyDescent="0.45">
      <c r="B21" s="38" t="s">
        <v>164</v>
      </c>
      <c r="C21" s="45">
        <f>(C13-C20)/(C9-C20)</f>
        <v>1.7241379310344829</v>
      </c>
      <c r="D21" s="40" t="s">
        <v>80</v>
      </c>
      <c r="E21" s="42" t="s">
        <v>165</v>
      </c>
      <c r="F21" s="57" t="s">
        <v>144</v>
      </c>
    </row>
    <row r="22" spans="2:6" ht="24" customHeight="1" x14ac:dyDescent="0.45">
      <c r="B22" s="19" t="s">
        <v>166</v>
      </c>
      <c r="C22" s="63">
        <v>0.3</v>
      </c>
      <c r="D22" s="21" t="s">
        <v>69</v>
      </c>
      <c r="E22" s="23" t="s">
        <v>167</v>
      </c>
      <c r="F22" s="55" t="s">
        <v>139</v>
      </c>
    </row>
    <row r="23" spans="2:6" ht="24" customHeight="1" x14ac:dyDescent="0.45">
      <c r="B23" s="38" t="s">
        <v>168</v>
      </c>
      <c r="C23" s="45">
        <f>C21*(1-C22)</f>
        <v>1.2068965517241379</v>
      </c>
      <c r="D23" s="40" t="s">
        <v>80</v>
      </c>
      <c r="E23" s="42" t="s">
        <v>169</v>
      </c>
      <c r="F23" s="57" t="s">
        <v>144</v>
      </c>
    </row>
    <row r="25" spans="2:6" ht="21.75" customHeight="1" x14ac:dyDescent="0.45">
      <c r="B25" s="208" t="s">
        <v>170</v>
      </c>
      <c r="C25" s="208"/>
      <c r="D25" s="208"/>
      <c r="E25" s="208"/>
      <c r="F25" s="208"/>
    </row>
    <row r="26" spans="2:6" ht="24" customHeight="1" x14ac:dyDescent="0.45">
      <c r="B26" s="19" t="s">
        <v>171</v>
      </c>
      <c r="C26" s="58">
        <v>0.13</v>
      </c>
      <c r="D26" s="21" t="s">
        <v>69</v>
      </c>
      <c r="E26" s="23" t="s">
        <v>172</v>
      </c>
      <c r="F26" s="53" t="s">
        <v>133</v>
      </c>
    </row>
    <row r="27" spans="2:6" ht="24" customHeight="1" x14ac:dyDescent="0.45">
      <c r="B27" s="19" t="s">
        <v>173</v>
      </c>
      <c r="C27" s="63">
        <v>0.6</v>
      </c>
      <c r="D27" s="21" t="s">
        <v>174</v>
      </c>
      <c r="E27" s="23" t="s">
        <v>175</v>
      </c>
      <c r="F27" s="53" t="s">
        <v>133</v>
      </c>
    </row>
    <row r="28" spans="2:6" ht="24" customHeight="1" x14ac:dyDescent="0.45">
      <c r="B28" s="19" t="s">
        <v>176</v>
      </c>
      <c r="C28" s="63">
        <v>0.5</v>
      </c>
      <c r="D28" s="21" t="s">
        <v>174</v>
      </c>
      <c r="E28" s="23" t="s">
        <v>177</v>
      </c>
      <c r="F28" s="53" t="s">
        <v>133</v>
      </c>
    </row>
    <row r="29" spans="2:6" ht="24" customHeight="1" x14ac:dyDescent="0.45">
      <c r="B29" s="26" t="s">
        <v>178</v>
      </c>
      <c r="C29" s="64">
        <f>C27-C28</f>
        <v>9.9999999999999978E-2</v>
      </c>
      <c r="D29" s="28" t="s">
        <v>174</v>
      </c>
      <c r="E29" s="30" t="s">
        <v>179</v>
      </c>
      <c r="F29" s="62" t="s">
        <v>144</v>
      </c>
    </row>
    <row r="31" spans="2:6" ht="21.75" customHeight="1" x14ac:dyDescent="0.45">
      <c r="B31" s="208" t="s">
        <v>180</v>
      </c>
      <c r="C31" s="208"/>
      <c r="D31" s="208"/>
      <c r="E31" s="208"/>
      <c r="F31" s="208"/>
    </row>
    <row r="32" spans="2:6" ht="24" customHeight="1" x14ac:dyDescent="0.45">
      <c r="B32" s="32" t="s">
        <v>181</v>
      </c>
      <c r="C32" s="65">
        <f>'Live Market Data'!C28</f>
        <v>10.29</v>
      </c>
      <c r="D32" s="34" t="s">
        <v>56</v>
      </c>
      <c r="E32" s="30" t="s">
        <v>182</v>
      </c>
      <c r="F32" s="60" t="s">
        <v>153</v>
      </c>
    </row>
    <row r="33" spans="2:6" ht="24" customHeight="1" x14ac:dyDescent="0.45">
      <c r="B33" s="19" t="s">
        <v>183</v>
      </c>
      <c r="C33" s="58">
        <v>0.1</v>
      </c>
      <c r="D33" s="21" t="s">
        <v>155</v>
      </c>
      <c r="E33" s="23" t="s">
        <v>184</v>
      </c>
      <c r="F33" s="53" t="s">
        <v>133</v>
      </c>
    </row>
    <row r="34" spans="2:6" ht="24" customHeight="1" x14ac:dyDescent="0.45">
      <c r="B34" s="26" t="s">
        <v>185</v>
      </c>
      <c r="C34" s="61">
        <f>C32*(1+C33)</f>
        <v>11.319000000000001</v>
      </c>
      <c r="D34" s="28" t="s">
        <v>56</v>
      </c>
      <c r="E34" s="30" t="s">
        <v>186</v>
      </c>
      <c r="F34" s="62" t="s">
        <v>144</v>
      </c>
    </row>
    <row r="35" spans="2:6" ht="24" customHeight="1" x14ac:dyDescent="0.45">
      <c r="B35" s="19" t="s">
        <v>187</v>
      </c>
      <c r="C35" s="20">
        <v>11.74</v>
      </c>
      <c r="D35" s="21" t="s">
        <v>56</v>
      </c>
      <c r="E35" s="23" t="s">
        <v>188</v>
      </c>
      <c r="F35" s="53" t="s">
        <v>133</v>
      </c>
    </row>
    <row r="37" spans="2:6" ht="21.75" customHeight="1" x14ac:dyDescent="0.45">
      <c r="B37" s="208" t="s">
        <v>189</v>
      </c>
      <c r="C37" s="208"/>
      <c r="D37" s="208"/>
      <c r="E37" s="208"/>
      <c r="F37" s="208"/>
    </row>
    <row r="38" spans="2:6" ht="24" customHeight="1" x14ac:dyDescent="0.45">
      <c r="B38" s="19" t="s">
        <v>190</v>
      </c>
      <c r="C38" s="63">
        <v>0.35</v>
      </c>
      <c r="D38" s="21" t="s">
        <v>191</v>
      </c>
      <c r="E38" s="23" t="s">
        <v>192</v>
      </c>
      <c r="F38" s="55" t="s">
        <v>139</v>
      </c>
    </row>
    <row r="39" spans="2:6" ht="24" customHeight="1" x14ac:dyDescent="0.45">
      <c r="B39" s="19" t="s">
        <v>193</v>
      </c>
      <c r="C39" s="63">
        <v>0.5</v>
      </c>
      <c r="D39" s="21" t="s">
        <v>191</v>
      </c>
      <c r="E39" s="23" t="s">
        <v>194</v>
      </c>
      <c r="F39" s="55" t="s">
        <v>139</v>
      </c>
    </row>
    <row r="40" spans="2:6" ht="24" customHeight="1" x14ac:dyDescent="0.45">
      <c r="B40" s="19" t="s">
        <v>195</v>
      </c>
      <c r="C40" s="63">
        <v>0.15</v>
      </c>
      <c r="D40" s="21" t="s">
        <v>191</v>
      </c>
      <c r="E40" s="23" t="s">
        <v>196</v>
      </c>
      <c r="F40" s="55" t="s">
        <v>139</v>
      </c>
    </row>
    <row r="41" spans="2:6" ht="24" customHeight="1" x14ac:dyDescent="0.45">
      <c r="B41" s="38" t="s">
        <v>197</v>
      </c>
      <c r="C41" s="66">
        <f>C38+C39+C40</f>
        <v>1</v>
      </c>
      <c r="D41" s="40" t="s">
        <v>69</v>
      </c>
      <c r="E41" s="42" t="s">
        <v>198</v>
      </c>
      <c r="F41" s="57" t="s">
        <v>199</v>
      </c>
    </row>
    <row r="43" spans="2:6" ht="21.75" customHeight="1" x14ac:dyDescent="0.45">
      <c r="B43" s="208" t="s">
        <v>200</v>
      </c>
      <c r="C43" s="208"/>
      <c r="D43" s="208"/>
      <c r="E43" s="208"/>
      <c r="F43" s="208"/>
    </row>
    <row r="44" spans="2:6" ht="24" customHeight="1" x14ac:dyDescent="0.45">
      <c r="B44" s="19" t="s">
        <v>201</v>
      </c>
      <c r="C44" s="31">
        <v>9.5</v>
      </c>
      <c r="D44" s="21" t="s">
        <v>202</v>
      </c>
      <c r="E44" s="23" t="s">
        <v>203</v>
      </c>
      <c r="F44" s="55" t="s">
        <v>139</v>
      </c>
    </row>
    <row r="45" spans="2:6" ht="24" customHeight="1" x14ac:dyDescent="0.45">
      <c r="B45" s="32" t="s">
        <v>204</v>
      </c>
      <c r="C45" s="67">
        <f>'Live Market Data'!C12</f>
        <v>7.6</v>
      </c>
      <c r="D45" s="34" t="s">
        <v>202</v>
      </c>
      <c r="E45" s="30" t="s">
        <v>205</v>
      </c>
      <c r="F45" s="60" t="s">
        <v>153</v>
      </c>
    </row>
    <row r="46" spans="2:6" ht="24" customHeight="1" x14ac:dyDescent="0.45">
      <c r="B46" s="19" t="s">
        <v>206</v>
      </c>
      <c r="C46" s="31">
        <v>5</v>
      </c>
      <c r="D46" s="21" t="s">
        <v>202</v>
      </c>
      <c r="E46" s="23" t="s">
        <v>207</v>
      </c>
      <c r="F46" s="68" t="s">
        <v>208</v>
      </c>
    </row>
    <row r="47" spans="2:6" ht="24" customHeight="1" x14ac:dyDescent="0.45">
      <c r="B47" s="19" t="s">
        <v>209</v>
      </c>
      <c r="C47" s="20">
        <v>10.5</v>
      </c>
      <c r="D47" s="21" t="s">
        <v>56</v>
      </c>
      <c r="E47" s="23" t="s">
        <v>210</v>
      </c>
      <c r="F47" s="68" t="s">
        <v>208</v>
      </c>
    </row>
    <row r="49" spans="2:6" ht="21.75" customHeight="1" x14ac:dyDescent="0.45">
      <c r="B49" s="208" t="s">
        <v>211</v>
      </c>
      <c r="C49" s="208"/>
      <c r="D49" s="208"/>
      <c r="E49" s="208"/>
      <c r="F49" s="208"/>
    </row>
    <row r="50" spans="2:6" ht="24" customHeight="1" x14ac:dyDescent="0.45">
      <c r="B50" s="38" t="s">
        <v>212</v>
      </c>
      <c r="C50" s="69">
        <f>C44*C35</f>
        <v>111.53</v>
      </c>
      <c r="D50" s="40" t="s">
        <v>56</v>
      </c>
      <c r="E50" s="42" t="s">
        <v>213</v>
      </c>
      <c r="F50" s="57" t="s">
        <v>144</v>
      </c>
    </row>
    <row r="51" spans="2:6" ht="24" customHeight="1" x14ac:dyDescent="0.45">
      <c r="B51" s="38" t="s">
        <v>214</v>
      </c>
      <c r="C51" s="69">
        <f>C45*C35</f>
        <v>89.224000000000004</v>
      </c>
      <c r="D51" s="40" t="s">
        <v>56</v>
      </c>
      <c r="E51" s="42" t="s">
        <v>215</v>
      </c>
      <c r="F51" s="57" t="s">
        <v>144</v>
      </c>
    </row>
    <row r="52" spans="2:6" ht="24" customHeight="1" x14ac:dyDescent="0.45">
      <c r="B52" s="70" t="s">
        <v>216</v>
      </c>
      <c r="C52" s="71">
        <f>C46*C47</f>
        <v>52.5</v>
      </c>
      <c r="D52" s="72" t="s">
        <v>56</v>
      </c>
      <c r="E52" s="73" t="s">
        <v>217</v>
      </c>
      <c r="F52" s="74" t="s">
        <v>144</v>
      </c>
    </row>
    <row r="53" spans="2:6" ht="24" customHeight="1" x14ac:dyDescent="0.45">
      <c r="B53" s="75" t="s">
        <v>218</v>
      </c>
      <c r="C53" s="76">
        <f>C50*C38+C51*C39+C52*C40</f>
        <v>91.522500000000008</v>
      </c>
      <c r="D53" s="77" t="s">
        <v>56</v>
      </c>
      <c r="E53" s="78" t="s">
        <v>219</v>
      </c>
      <c r="F53" s="79" t="s">
        <v>144</v>
      </c>
    </row>
    <row r="55" spans="2:6" ht="21.75" customHeight="1" x14ac:dyDescent="0.45">
      <c r="B55" s="208" t="s">
        <v>220</v>
      </c>
      <c r="C55" s="208"/>
      <c r="D55" s="208"/>
      <c r="E55" s="208"/>
      <c r="F55" s="208"/>
    </row>
    <row r="56" spans="2:6" ht="24" customHeight="1" x14ac:dyDescent="0.45">
      <c r="B56" s="26" t="s">
        <v>221</v>
      </c>
      <c r="C56" s="80">
        <f>C13</f>
        <v>0.13500000000000001</v>
      </c>
      <c r="D56" s="28" t="s">
        <v>147</v>
      </c>
      <c r="E56" s="30" t="s">
        <v>222</v>
      </c>
      <c r="F56" s="62" t="s">
        <v>144</v>
      </c>
    </row>
    <row r="57" spans="2:6" ht="24" customHeight="1" x14ac:dyDescent="0.45">
      <c r="B57" s="32" t="s">
        <v>223</v>
      </c>
      <c r="C57" s="33">
        <f>C16</f>
        <v>103.84499999999998</v>
      </c>
      <c r="D57" s="34" t="s">
        <v>56</v>
      </c>
      <c r="E57" s="30" t="s">
        <v>224</v>
      </c>
      <c r="F57" s="62" t="s">
        <v>144</v>
      </c>
    </row>
    <row r="58" spans="2:6" ht="25.5" customHeight="1" x14ac:dyDescent="0.45">
      <c r="B58" s="75" t="s">
        <v>225</v>
      </c>
      <c r="C58" s="76">
        <f>C57*((C56-C20)/(C9-C20))*(1-C22)</f>
        <v>125.33017241379308</v>
      </c>
      <c r="D58" s="77" t="s">
        <v>56</v>
      </c>
      <c r="E58" s="78" t="s">
        <v>226</v>
      </c>
      <c r="F58" s="79" t="s">
        <v>144</v>
      </c>
    </row>
    <row r="60" spans="2:6" ht="21.75" customHeight="1" x14ac:dyDescent="0.45">
      <c r="B60" s="208" t="s">
        <v>227</v>
      </c>
      <c r="C60" s="208"/>
      <c r="D60" s="208"/>
      <c r="E60" s="208"/>
      <c r="F60" s="208"/>
    </row>
    <row r="61" spans="2:6" ht="27.75" customHeight="1" x14ac:dyDescent="0.45">
      <c r="B61" s="75" t="s">
        <v>228</v>
      </c>
      <c r="C61" s="81">
        <v>95</v>
      </c>
      <c r="D61" s="77" t="s">
        <v>56</v>
      </c>
      <c r="E61" s="78" t="s">
        <v>229</v>
      </c>
      <c r="F61" s="55" t="s">
        <v>230</v>
      </c>
    </row>
    <row r="63" spans="2:6" ht="21.75" customHeight="1" x14ac:dyDescent="0.45">
      <c r="B63" s="209" t="s">
        <v>231</v>
      </c>
      <c r="C63" s="209"/>
      <c r="D63" s="209"/>
      <c r="E63" s="209"/>
      <c r="F63" s="209"/>
    </row>
    <row r="64" spans="2:6" ht="24" customHeight="1" x14ac:dyDescent="0.45">
      <c r="B64" s="19" t="s">
        <v>232</v>
      </c>
      <c r="C64" s="63">
        <v>0.4</v>
      </c>
      <c r="D64" s="21" t="s">
        <v>233</v>
      </c>
      <c r="E64" s="23" t="s">
        <v>234</v>
      </c>
      <c r="F64" s="55" t="s">
        <v>139</v>
      </c>
    </row>
    <row r="65" spans="2:6" ht="24" customHeight="1" x14ac:dyDescent="0.45">
      <c r="B65" s="19" t="s">
        <v>235</v>
      </c>
      <c r="C65" s="63">
        <v>0.4</v>
      </c>
      <c r="D65" s="21" t="s">
        <v>233</v>
      </c>
      <c r="E65" s="23" t="s">
        <v>236</v>
      </c>
      <c r="F65" s="55" t="s">
        <v>139</v>
      </c>
    </row>
    <row r="66" spans="2:6" ht="24" customHeight="1" x14ac:dyDescent="0.45">
      <c r="B66" s="19" t="s">
        <v>237</v>
      </c>
      <c r="C66" s="63">
        <v>0.2</v>
      </c>
      <c r="D66" s="21" t="s">
        <v>233</v>
      </c>
      <c r="E66" s="23" t="s">
        <v>238</v>
      </c>
      <c r="F66" s="55" t="s">
        <v>139</v>
      </c>
    </row>
    <row r="67" spans="2:6" ht="24" customHeight="1" x14ac:dyDescent="0.45">
      <c r="B67" s="32" t="s">
        <v>239</v>
      </c>
      <c r="C67" s="82">
        <f>C64+C65+C66</f>
        <v>1</v>
      </c>
      <c r="D67" s="34" t="s">
        <v>69</v>
      </c>
      <c r="E67" s="30" t="s">
        <v>240</v>
      </c>
      <c r="F67" s="62" t="s">
        <v>199</v>
      </c>
    </row>
    <row r="68" spans="2:6" ht="30" customHeight="1" x14ac:dyDescent="0.45">
      <c r="B68" s="83" t="s">
        <v>241</v>
      </c>
      <c r="C68" s="84">
        <f>C53*C64+C58*C65+C61*C66</f>
        <v>105.74106896551723</v>
      </c>
      <c r="D68" s="85" t="s">
        <v>56</v>
      </c>
      <c r="E68" s="86" t="s">
        <v>242</v>
      </c>
      <c r="F68" s="85" t="s">
        <v>144</v>
      </c>
    </row>
    <row r="69" spans="2:6" ht="24" customHeight="1" x14ac:dyDescent="0.45">
      <c r="B69" s="38" t="s">
        <v>243</v>
      </c>
      <c r="C69" s="87">
        <f>C68/'Live Market Data'!C5-1</f>
        <v>0.18596981791742073</v>
      </c>
      <c r="D69" s="40" t="s">
        <v>69</v>
      </c>
      <c r="E69" s="42" t="s">
        <v>244</v>
      </c>
      <c r="F69" s="57" t="s">
        <v>144</v>
      </c>
    </row>
    <row r="70" spans="2:6" ht="24" customHeight="1" x14ac:dyDescent="0.45">
      <c r="B70" s="88" t="s">
        <v>245</v>
      </c>
      <c r="C70" s="89">
        <f>'Live Market Data'!C15</f>
        <v>5.7873485868102294E-2</v>
      </c>
      <c r="D70" s="40" t="s">
        <v>69</v>
      </c>
      <c r="E70" s="42" t="s">
        <v>246</v>
      </c>
      <c r="F70" s="90" t="s">
        <v>153</v>
      </c>
    </row>
    <row r="71" spans="2:6" ht="27.75" customHeight="1" x14ac:dyDescent="0.45">
      <c r="B71" s="91" t="s">
        <v>247</v>
      </c>
      <c r="C71" s="92">
        <f>C69+C70</f>
        <v>0.24384330378552302</v>
      </c>
      <c r="D71" s="40" t="s">
        <v>69</v>
      </c>
      <c r="E71" s="42" t="s">
        <v>248</v>
      </c>
      <c r="F71" s="57" t="s">
        <v>144</v>
      </c>
    </row>
  </sheetData>
  <mergeCells count="13">
    <mergeCell ref="B55:F55"/>
    <mergeCell ref="B60:F60"/>
    <mergeCell ref="B63:F63"/>
    <mergeCell ref="B25:F25"/>
    <mergeCell ref="B31:F31"/>
    <mergeCell ref="B37:F37"/>
    <mergeCell ref="B43:F43"/>
    <mergeCell ref="B49:F49"/>
    <mergeCell ref="B1:F1"/>
    <mergeCell ref="B2:F2"/>
    <mergeCell ref="B4:F4"/>
    <mergeCell ref="B11:F11"/>
    <mergeCell ref="B19:F19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2E86AB"/>
  </sheetPr>
  <dimension ref="B1:G33"/>
  <sheetViews>
    <sheetView showGridLines="0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ColWidth="8.6640625" defaultRowHeight="14.25" x14ac:dyDescent="0.45"/>
  <cols>
    <col min="1" max="1" width="3" customWidth="1"/>
    <col min="2" max="2" width="42" customWidth="1"/>
    <col min="3" max="7" width="14" customWidth="1"/>
    <col min="8" max="8" width="3" customWidth="1"/>
  </cols>
  <sheetData>
    <row r="1" spans="2:7" ht="25.5" customHeight="1" x14ac:dyDescent="0.45">
      <c r="B1" s="1" t="s">
        <v>249</v>
      </c>
      <c r="C1" s="1"/>
      <c r="D1" s="1"/>
      <c r="E1" s="1"/>
      <c r="F1" s="1"/>
      <c r="G1" s="1"/>
    </row>
    <row r="2" spans="2:7" ht="52.5" customHeight="1" x14ac:dyDescent="0.45">
      <c r="B2" s="207" t="s">
        <v>250</v>
      </c>
      <c r="C2" s="207"/>
      <c r="D2" s="207"/>
      <c r="E2" s="207"/>
      <c r="F2" s="207"/>
      <c r="G2" s="207"/>
    </row>
    <row r="4" spans="2:7" ht="21.75" customHeight="1" x14ac:dyDescent="0.45">
      <c r="B4" s="51" t="s">
        <v>251</v>
      </c>
      <c r="C4" s="51" t="s">
        <v>252</v>
      </c>
      <c r="D4" s="51" t="s">
        <v>253</v>
      </c>
      <c r="E4" s="51" t="s">
        <v>254</v>
      </c>
      <c r="F4" s="51" t="s">
        <v>255</v>
      </c>
      <c r="G4" s="51" t="s">
        <v>256</v>
      </c>
    </row>
    <row r="5" spans="2:7" ht="21.75" customHeight="1" x14ac:dyDescent="0.45">
      <c r="B5" s="208" t="s">
        <v>257</v>
      </c>
      <c r="C5" s="208"/>
      <c r="D5" s="208"/>
      <c r="E5" s="208"/>
      <c r="F5" s="208"/>
      <c r="G5" s="208"/>
    </row>
    <row r="6" spans="2:7" ht="15" customHeight="1" x14ac:dyDescent="0.45">
      <c r="B6" s="26" t="s">
        <v>258</v>
      </c>
      <c r="C6" s="93">
        <v>46235</v>
      </c>
      <c r="D6" s="93">
        <v>50428</v>
      </c>
      <c r="E6" s="93">
        <v>48760</v>
      </c>
      <c r="F6" s="93">
        <v>48831</v>
      </c>
      <c r="G6" s="94">
        <f>'Live Market Data'!C27</f>
        <v>51223</v>
      </c>
    </row>
    <row r="7" spans="2:7" ht="15" customHeight="1" x14ac:dyDescent="0.45">
      <c r="B7" s="95" t="s">
        <v>259</v>
      </c>
      <c r="C7" s="96" t="s">
        <v>137</v>
      </c>
      <c r="D7" s="97">
        <f>D6/C6-1</f>
        <v>9.0688872066616133E-2</v>
      </c>
      <c r="E7" s="97">
        <f>E6/D6-1</f>
        <v>-3.3076862060759882E-2</v>
      </c>
      <c r="F7" s="97">
        <f>F6/E6-1</f>
        <v>1.4561115668580982E-3</v>
      </c>
      <c r="G7" s="97">
        <f>G6/F6-1</f>
        <v>4.8985275746963985E-2</v>
      </c>
    </row>
    <row r="8" spans="2:7" ht="15" customHeight="1" x14ac:dyDescent="0.45">
      <c r="B8" s="19" t="s">
        <v>260</v>
      </c>
      <c r="C8" s="48">
        <v>-31122</v>
      </c>
      <c r="D8" s="48">
        <v>-32023</v>
      </c>
      <c r="E8" s="48">
        <v>-30720</v>
      </c>
      <c r="F8" s="48">
        <v>-30193</v>
      </c>
      <c r="G8" s="48">
        <v>-31374</v>
      </c>
    </row>
    <row r="9" spans="2:7" ht="15" customHeight="1" x14ac:dyDescent="0.45">
      <c r="B9" s="98" t="s">
        <v>261</v>
      </c>
      <c r="C9" s="99">
        <f>ABS(C8)/C6</f>
        <v>0.6731264193792581</v>
      </c>
      <c r="D9" s="99">
        <f>ABS(D8)/D6</f>
        <v>0.63502419290870149</v>
      </c>
      <c r="E9" s="99">
        <f>ABS(E8)/E6</f>
        <v>0.63002461033634127</v>
      </c>
      <c r="F9" s="99">
        <f>ABS(F8)/F6</f>
        <v>0.61831623354016918</v>
      </c>
      <c r="G9" s="99">
        <f>ABS(G8)/G6</f>
        <v>0.61249829178298809</v>
      </c>
    </row>
    <row r="11" spans="2:7" ht="15" customHeight="1" x14ac:dyDescent="0.45">
      <c r="B11" s="35" t="s">
        <v>262</v>
      </c>
      <c r="C11" s="100">
        <f>C6+C8</f>
        <v>15113</v>
      </c>
      <c r="D11" s="100">
        <f>D6+D8</f>
        <v>18405</v>
      </c>
      <c r="E11" s="100">
        <f>E6+E8</f>
        <v>18040</v>
      </c>
      <c r="F11" s="100">
        <f>F6+F8</f>
        <v>18638</v>
      </c>
      <c r="G11" s="100">
        <f>G6+G8</f>
        <v>19849</v>
      </c>
    </row>
    <row r="12" spans="2:7" ht="15" customHeight="1" x14ac:dyDescent="0.45">
      <c r="B12" s="19" t="s">
        <v>263</v>
      </c>
      <c r="C12" s="48">
        <v>-3200</v>
      </c>
      <c r="D12" s="48">
        <v>-2500</v>
      </c>
      <c r="E12" s="48">
        <v>-2600</v>
      </c>
      <c r="F12" s="48">
        <v>-2999</v>
      </c>
      <c r="G12" s="48">
        <v>-3350</v>
      </c>
    </row>
    <row r="13" spans="2:7" ht="15" customHeight="1" x14ac:dyDescent="0.45">
      <c r="B13" s="101" t="s">
        <v>264</v>
      </c>
      <c r="C13" s="102">
        <v>40</v>
      </c>
      <c r="D13" s="102">
        <v>33</v>
      </c>
      <c r="E13" s="102">
        <v>32</v>
      </c>
      <c r="F13" s="102">
        <v>30</v>
      </c>
      <c r="G13" s="102">
        <v>36</v>
      </c>
    </row>
    <row r="14" spans="2:7" ht="15" customHeight="1" x14ac:dyDescent="0.45">
      <c r="B14" s="26" t="s">
        <v>265</v>
      </c>
      <c r="C14" s="27">
        <f>C11+C12</f>
        <v>11913</v>
      </c>
      <c r="D14" s="27">
        <f>D11+D12</f>
        <v>15905</v>
      </c>
      <c r="E14" s="27">
        <f>E11+E12</f>
        <v>15440</v>
      </c>
      <c r="F14" s="27">
        <f>F11+F12</f>
        <v>15639</v>
      </c>
      <c r="G14" s="27">
        <f>G11+G12</f>
        <v>16499</v>
      </c>
    </row>
    <row r="15" spans="2:7" ht="15" customHeight="1" x14ac:dyDescent="0.45">
      <c r="B15" s="26" t="s">
        <v>266</v>
      </c>
      <c r="C15" s="93">
        <v>9488</v>
      </c>
      <c r="D15" s="93">
        <v>10196</v>
      </c>
      <c r="E15" s="93">
        <v>10996</v>
      </c>
      <c r="F15" s="93">
        <v>11688</v>
      </c>
      <c r="G15" s="94">
        <f>'Live Market Data'!C26</f>
        <v>12225</v>
      </c>
    </row>
    <row r="16" spans="2:7" ht="15" customHeight="1" x14ac:dyDescent="0.45">
      <c r="B16" s="103" t="s">
        <v>267</v>
      </c>
      <c r="C16" s="104" t="s">
        <v>137</v>
      </c>
      <c r="D16" s="50">
        <f>D15/C15-1</f>
        <v>7.4620573355817843E-2</v>
      </c>
      <c r="E16" s="50">
        <f>E15/D15-1</f>
        <v>7.8462142016477054E-2</v>
      </c>
      <c r="F16" s="50">
        <f>F15/E15-1</f>
        <v>6.2931975263732287E-2</v>
      </c>
      <c r="G16" s="50">
        <f>G15/F15-1</f>
        <v>4.5944558521560541E-2</v>
      </c>
    </row>
    <row r="18" spans="2:7" ht="21.75" customHeight="1" x14ac:dyDescent="0.45">
      <c r="B18" s="208" t="s">
        <v>268</v>
      </c>
      <c r="C18" s="208"/>
      <c r="D18" s="208"/>
      <c r="E18" s="208"/>
      <c r="F18" s="208"/>
      <c r="G18" s="208"/>
    </row>
    <row r="19" spans="2:7" ht="15" customHeight="1" x14ac:dyDescent="0.45">
      <c r="B19" s="26" t="s">
        <v>269</v>
      </c>
      <c r="C19" s="105">
        <v>7.35</v>
      </c>
      <c r="D19" s="105">
        <v>8.11</v>
      </c>
      <c r="E19" s="105">
        <v>9.57</v>
      </c>
      <c r="F19" s="105">
        <v>9.57</v>
      </c>
      <c r="G19" s="59">
        <f>'Live Market Data'!C28</f>
        <v>10.29</v>
      </c>
    </row>
    <row r="20" spans="2:7" ht="15" customHeight="1" x14ac:dyDescent="0.45">
      <c r="B20" s="19" t="s">
        <v>270</v>
      </c>
      <c r="C20" s="20">
        <v>3.67</v>
      </c>
      <c r="D20" s="20">
        <v>3.9</v>
      </c>
      <c r="E20" s="20">
        <v>4.5999999999999996</v>
      </c>
      <c r="F20" s="20">
        <v>4.79</v>
      </c>
      <c r="G20" s="106">
        <f>'Live Market Data'!C16</f>
        <v>5.16</v>
      </c>
    </row>
    <row r="21" spans="2:7" ht="15" customHeight="1" x14ac:dyDescent="0.45">
      <c r="B21" s="95" t="s">
        <v>271</v>
      </c>
      <c r="C21" s="97">
        <f>C20/C19</f>
        <v>0.49931972789115647</v>
      </c>
      <c r="D21" s="97">
        <f>D20/D19</f>
        <v>0.48088779284833544</v>
      </c>
      <c r="E21" s="97">
        <f>E20/E19</f>
        <v>0.48066875653082547</v>
      </c>
      <c r="F21" s="97">
        <f>F20/F19</f>
        <v>0.5005224660397074</v>
      </c>
      <c r="G21" s="97">
        <f>G20/G19</f>
        <v>0.50145772594752192</v>
      </c>
    </row>
    <row r="22" spans="2:7" ht="15" customHeight="1" x14ac:dyDescent="0.45">
      <c r="B22" s="107" t="s">
        <v>272</v>
      </c>
      <c r="C22" s="47">
        <v>9.5000000000000001E-2</v>
      </c>
      <c r="D22" s="47">
        <v>0.11</v>
      </c>
      <c r="E22" s="47">
        <v>0.115</v>
      </c>
      <c r="F22" s="47">
        <v>0.109</v>
      </c>
      <c r="G22" s="108">
        <f>'Live Market Data'!C29</f>
        <v>0.11600000000000001</v>
      </c>
    </row>
    <row r="23" spans="2:7" ht="15" customHeight="1" x14ac:dyDescent="0.45">
      <c r="B23" s="32" t="s">
        <v>273</v>
      </c>
      <c r="C23" s="109">
        <f>Assumptions!C9</f>
        <v>9.2999999999999999E-2</v>
      </c>
      <c r="D23" s="109">
        <f>Assumptions!C9</f>
        <v>9.2999999999999999E-2</v>
      </c>
      <c r="E23" s="109">
        <f>Assumptions!C9</f>
        <v>9.2999999999999999E-2</v>
      </c>
      <c r="F23" s="109">
        <f>Assumptions!C9</f>
        <v>9.2999999999999999E-2</v>
      </c>
      <c r="G23" s="109">
        <f>Assumptions!C9</f>
        <v>9.2999999999999999E-2</v>
      </c>
    </row>
    <row r="24" spans="2:7" ht="15" customHeight="1" x14ac:dyDescent="0.45">
      <c r="B24" s="110" t="s">
        <v>274</v>
      </c>
      <c r="C24" s="111">
        <f>C22-C23</f>
        <v>2.0000000000000018E-3</v>
      </c>
      <c r="D24" s="111">
        <f>D22-D23</f>
        <v>1.7000000000000001E-2</v>
      </c>
      <c r="E24" s="111">
        <f>E22-E23</f>
        <v>2.2000000000000006E-2</v>
      </c>
      <c r="F24" s="111">
        <f>F22-F23</f>
        <v>1.6E-2</v>
      </c>
      <c r="G24" s="111">
        <f>G22-G23</f>
        <v>2.3000000000000007E-2</v>
      </c>
    </row>
    <row r="26" spans="2:7" ht="21.75" customHeight="1" x14ac:dyDescent="0.45">
      <c r="B26" s="208" t="s">
        <v>275</v>
      </c>
      <c r="C26" s="208"/>
      <c r="D26" s="208"/>
      <c r="E26" s="208"/>
      <c r="F26" s="208"/>
      <c r="G26" s="208"/>
    </row>
    <row r="27" spans="2:7" ht="15" customHeight="1" x14ac:dyDescent="0.45">
      <c r="B27" s="112" t="s">
        <v>276</v>
      </c>
      <c r="C27" s="113">
        <v>0.129</v>
      </c>
      <c r="D27" s="113">
        <v>0.121</v>
      </c>
      <c r="E27" s="113">
        <v>0.13</v>
      </c>
      <c r="F27" s="113">
        <v>0.123</v>
      </c>
      <c r="G27" s="113">
        <v>0.126</v>
      </c>
    </row>
    <row r="28" spans="2:7" ht="15" customHeight="1" x14ac:dyDescent="0.45">
      <c r="B28" s="19" t="s">
        <v>277</v>
      </c>
      <c r="C28" s="24">
        <v>2590</v>
      </c>
      <c r="D28" s="24">
        <v>2666</v>
      </c>
      <c r="E28" s="24">
        <v>2591</v>
      </c>
      <c r="F28" s="24">
        <v>2705</v>
      </c>
      <c r="G28" s="24">
        <v>2810</v>
      </c>
    </row>
    <row r="29" spans="2:7" ht="15" customHeight="1" x14ac:dyDescent="0.45">
      <c r="B29" s="32" t="s">
        <v>278</v>
      </c>
      <c r="C29" s="114">
        <v>500</v>
      </c>
      <c r="D29" s="114">
        <v>2000</v>
      </c>
      <c r="E29" s="114">
        <v>2200</v>
      </c>
      <c r="F29" s="114">
        <v>2300</v>
      </c>
      <c r="G29" s="114">
        <v>1150</v>
      </c>
    </row>
    <row r="30" spans="2:7" ht="15" customHeight="1" x14ac:dyDescent="0.45">
      <c r="B30" s="95" t="s">
        <v>279</v>
      </c>
      <c r="C30" s="97">
        <f>C29/C15</f>
        <v>5.2698145025295108E-2</v>
      </c>
      <c r="D30" s="97">
        <f>D29/D15</f>
        <v>0.19615535504119264</v>
      </c>
      <c r="E30" s="97">
        <f>E29/E15</f>
        <v>0.20007275372862859</v>
      </c>
      <c r="F30" s="97">
        <f>F29/F15</f>
        <v>0.19678302532511979</v>
      </c>
      <c r="G30" s="97">
        <f>G29/G15</f>
        <v>9.4069529652351741E-2</v>
      </c>
    </row>
    <row r="31" spans="2:7" ht="15" customHeight="1" x14ac:dyDescent="0.45">
      <c r="B31" s="110" t="s">
        <v>280</v>
      </c>
      <c r="C31" s="111">
        <f>C20/C19+C29/C15</f>
        <v>0.55201787291645155</v>
      </c>
      <c r="D31" s="111">
        <f>D20/D19+D29/D15</f>
        <v>0.67704314788952802</v>
      </c>
      <c r="E31" s="111">
        <f>E20/E19+E29/E15</f>
        <v>0.68074151025945406</v>
      </c>
      <c r="F31" s="111">
        <f>F20/F19+F29/F15</f>
        <v>0.69730549136482722</v>
      </c>
      <c r="G31" s="111">
        <f>G20/G19+G29/G15</f>
        <v>0.59552725559987363</v>
      </c>
    </row>
    <row r="33" spans="2:7" ht="63.75" customHeight="1" x14ac:dyDescent="0.45">
      <c r="B33" s="207" t="s">
        <v>281</v>
      </c>
      <c r="C33" s="207"/>
      <c r="D33" s="207"/>
      <c r="E33" s="207"/>
      <c r="F33" s="207"/>
      <c r="G33" s="207"/>
    </row>
  </sheetData>
  <mergeCells count="6">
    <mergeCell ref="B33:G33"/>
    <mergeCell ref="B1:G1"/>
    <mergeCell ref="B2:G2"/>
    <mergeCell ref="B5:G5"/>
    <mergeCell ref="B18:G18"/>
    <mergeCell ref="B26:G26"/>
  </mergeCell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695C"/>
  </sheetPr>
  <dimension ref="B1:G32"/>
  <sheetViews>
    <sheetView showGridLines="0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ColWidth="8.6640625" defaultRowHeight="14.25" x14ac:dyDescent="0.45"/>
  <cols>
    <col min="1" max="1" width="3" customWidth="1"/>
    <col min="2" max="2" width="42" customWidth="1"/>
    <col min="3" max="6" width="14" customWidth="1"/>
    <col min="7" max="7" width="36" customWidth="1"/>
    <col min="8" max="8" width="3" customWidth="1"/>
  </cols>
  <sheetData>
    <row r="1" spans="2:7" ht="25.5" customHeight="1" x14ac:dyDescent="0.45">
      <c r="B1" s="1" t="s">
        <v>282</v>
      </c>
      <c r="C1" s="1"/>
      <c r="D1" s="1"/>
      <c r="E1" s="1"/>
      <c r="F1" s="1"/>
      <c r="G1" s="1"/>
    </row>
    <row r="2" spans="2:7" ht="37.5" customHeight="1" x14ac:dyDescent="0.45">
      <c r="B2" s="207" t="s">
        <v>283</v>
      </c>
      <c r="C2" s="207"/>
      <c r="D2" s="207"/>
      <c r="E2" s="207"/>
      <c r="F2" s="207"/>
      <c r="G2" s="207"/>
    </row>
    <row r="4" spans="2:7" ht="21.75" customHeight="1" x14ac:dyDescent="0.45">
      <c r="B4" s="51" t="s">
        <v>33</v>
      </c>
      <c r="C4" s="51" t="s">
        <v>284</v>
      </c>
      <c r="D4" s="51" t="s">
        <v>285</v>
      </c>
      <c r="E4" s="51" t="s">
        <v>286</v>
      </c>
      <c r="F4" s="51" t="s">
        <v>287</v>
      </c>
      <c r="G4" s="51" t="s">
        <v>288</v>
      </c>
    </row>
    <row r="5" spans="2:7" ht="21.75" customHeight="1" x14ac:dyDescent="0.45">
      <c r="B5" s="208" t="s">
        <v>289</v>
      </c>
      <c r="C5" s="208"/>
      <c r="D5" s="208"/>
      <c r="E5" s="208"/>
      <c r="F5" s="208"/>
      <c r="G5" s="208"/>
    </row>
    <row r="6" spans="2:7" ht="15" customHeight="1" x14ac:dyDescent="0.45">
      <c r="B6" s="26" t="s">
        <v>258</v>
      </c>
      <c r="C6" s="94">
        <f>'Live Market Data'!C23</f>
        <v>14056</v>
      </c>
      <c r="D6" s="93">
        <v>12960</v>
      </c>
      <c r="E6" s="27">
        <f>C6-D6</f>
        <v>1096</v>
      </c>
      <c r="F6" s="80">
        <f>C6/D6-1</f>
        <v>8.4567901234567922E-2</v>
      </c>
      <c r="G6" s="115" t="s">
        <v>290</v>
      </c>
    </row>
    <row r="7" spans="2:7" ht="20.25" customHeight="1" x14ac:dyDescent="0.45">
      <c r="B7" s="19" t="s">
        <v>260</v>
      </c>
      <c r="C7" s="48">
        <v>8710</v>
      </c>
      <c r="D7" s="48">
        <v>8257</v>
      </c>
      <c r="E7" s="116">
        <f>C7-D7</f>
        <v>453</v>
      </c>
      <c r="F7" s="50">
        <f>C7/D7-1</f>
        <v>5.4862540874409671E-2</v>
      </c>
      <c r="G7" s="115" t="s">
        <v>291</v>
      </c>
    </row>
    <row r="8" spans="2:7" ht="20.25" customHeight="1" x14ac:dyDescent="0.45">
      <c r="B8" s="110" t="s">
        <v>292</v>
      </c>
      <c r="C8" s="117" t="s">
        <v>137</v>
      </c>
      <c r="D8" s="117" t="s">
        <v>137</v>
      </c>
      <c r="E8" s="117" t="s">
        <v>137</v>
      </c>
      <c r="F8" s="111">
        <f>F6-F7</f>
        <v>2.9705360360158251E-2</v>
      </c>
      <c r="G8" s="118" t="s">
        <v>293</v>
      </c>
    </row>
    <row r="9" spans="2:7" ht="15" customHeight="1" x14ac:dyDescent="0.45">
      <c r="B9" s="35" t="s">
        <v>294</v>
      </c>
      <c r="C9" s="100">
        <f>C6-C7</f>
        <v>5346</v>
      </c>
      <c r="D9" s="100">
        <f>D6-D7</f>
        <v>4703</v>
      </c>
      <c r="E9" s="100">
        <f t="shared" ref="E9:E14" si="0">C9-D9</f>
        <v>643</v>
      </c>
      <c r="F9" s="119">
        <f>C9/D9-1</f>
        <v>0.13672124176057832</v>
      </c>
      <c r="G9" s="115" t="s">
        <v>295</v>
      </c>
    </row>
    <row r="10" spans="2:7" ht="20.25" customHeight="1" x14ac:dyDescent="0.45">
      <c r="B10" s="32" t="s">
        <v>296</v>
      </c>
      <c r="C10" s="114">
        <v>922</v>
      </c>
      <c r="D10" s="114">
        <v>766</v>
      </c>
      <c r="E10" s="120">
        <f t="shared" si="0"/>
        <v>156</v>
      </c>
      <c r="F10" s="97">
        <f>C10/D10-1</f>
        <v>0.20365535248041766</v>
      </c>
      <c r="G10" s="121" t="s">
        <v>297</v>
      </c>
    </row>
    <row r="11" spans="2:7" ht="20.25" customHeight="1" x14ac:dyDescent="0.45">
      <c r="B11" s="35" t="s">
        <v>298</v>
      </c>
      <c r="C11" s="49">
        <v>4608</v>
      </c>
      <c r="D11" s="49">
        <v>4240</v>
      </c>
      <c r="E11" s="100">
        <f t="shared" si="0"/>
        <v>368</v>
      </c>
      <c r="F11" s="119">
        <f>C11/D11-1</f>
        <v>8.679245283018866E-2</v>
      </c>
      <c r="G11" s="115" t="s">
        <v>299</v>
      </c>
    </row>
    <row r="12" spans="2:7" ht="20.25" customHeight="1" x14ac:dyDescent="0.45">
      <c r="B12" s="26" t="s">
        <v>266</v>
      </c>
      <c r="C12" s="94">
        <f>'Live Market Data'!C22</f>
        <v>3217</v>
      </c>
      <c r="D12" s="93">
        <v>2951</v>
      </c>
      <c r="E12" s="27">
        <f t="shared" si="0"/>
        <v>266</v>
      </c>
      <c r="F12" s="80">
        <f>C12/D12-1</f>
        <v>9.0138935953913979E-2</v>
      </c>
      <c r="G12" s="121" t="s">
        <v>300</v>
      </c>
    </row>
    <row r="13" spans="2:7" ht="15" customHeight="1" x14ac:dyDescent="0.45">
      <c r="B13" s="38" t="s">
        <v>301</v>
      </c>
      <c r="C13" s="122">
        <f>'Live Market Data'!C24</f>
        <v>0.128</v>
      </c>
      <c r="D13" s="123">
        <v>0.11</v>
      </c>
      <c r="E13" s="124">
        <f t="shared" si="0"/>
        <v>1.8000000000000002E-2</v>
      </c>
      <c r="F13" s="125" t="s">
        <v>302</v>
      </c>
      <c r="G13" s="118" t="s">
        <v>303</v>
      </c>
    </row>
    <row r="14" spans="2:7" ht="15" customHeight="1" x14ac:dyDescent="0.45">
      <c r="B14" s="38" t="s">
        <v>304</v>
      </c>
      <c r="C14" s="122">
        <f>'Live Market Data'!C21</f>
        <v>0.128</v>
      </c>
      <c r="D14" s="123">
        <v>0.126</v>
      </c>
      <c r="E14" s="124">
        <f t="shared" si="0"/>
        <v>2.0000000000000018E-3</v>
      </c>
      <c r="F14" s="125" t="s">
        <v>305</v>
      </c>
      <c r="G14" s="118" t="s">
        <v>306</v>
      </c>
    </row>
    <row r="16" spans="2:7" ht="21.75" customHeight="1" x14ac:dyDescent="0.45">
      <c r="B16" s="208" t="s">
        <v>307</v>
      </c>
      <c r="C16" s="208"/>
      <c r="D16" s="208"/>
      <c r="E16" s="208"/>
      <c r="F16" s="208"/>
      <c r="G16" s="208"/>
    </row>
    <row r="17" spans="2:7" ht="20.25" customHeight="1" x14ac:dyDescent="0.45">
      <c r="B17" s="26" t="s">
        <v>308</v>
      </c>
      <c r="C17" s="93">
        <v>5243</v>
      </c>
      <c r="D17" s="93">
        <v>5286</v>
      </c>
      <c r="E17" s="27">
        <f t="shared" ref="E17:E24" si="1">C17-D17</f>
        <v>-43</v>
      </c>
      <c r="F17" s="80">
        <f t="shared" ref="F17:F24" si="2">C17/D17-1</f>
        <v>-8.1346954218690648E-3</v>
      </c>
      <c r="G17" s="121" t="s">
        <v>309</v>
      </c>
    </row>
    <row r="18" spans="2:7" ht="20.25" customHeight="1" x14ac:dyDescent="0.45">
      <c r="B18" s="103" t="s">
        <v>310</v>
      </c>
      <c r="C18" s="48">
        <v>1513</v>
      </c>
      <c r="D18" s="48">
        <v>1678</v>
      </c>
      <c r="E18" s="116">
        <f t="shared" si="1"/>
        <v>-165</v>
      </c>
      <c r="F18" s="50">
        <f t="shared" si="2"/>
        <v>-9.8331346841477929E-2</v>
      </c>
      <c r="G18" s="115" t="s">
        <v>311</v>
      </c>
    </row>
    <row r="19" spans="2:7" ht="20.25" customHeight="1" x14ac:dyDescent="0.45">
      <c r="B19" s="103" t="s">
        <v>312</v>
      </c>
      <c r="C19" s="48">
        <v>2884</v>
      </c>
      <c r="D19" s="48">
        <v>2813</v>
      </c>
      <c r="E19" s="116">
        <f t="shared" si="1"/>
        <v>71</v>
      </c>
      <c r="F19" s="50">
        <f t="shared" si="2"/>
        <v>2.5239957340917218E-2</v>
      </c>
      <c r="G19" s="115" t="s">
        <v>313</v>
      </c>
    </row>
    <row r="20" spans="2:7" ht="15" customHeight="1" x14ac:dyDescent="0.45">
      <c r="B20" s="103" t="s">
        <v>314</v>
      </c>
      <c r="C20" s="48">
        <v>845</v>
      </c>
      <c r="D20" s="48">
        <v>793</v>
      </c>
      <c r="E20" s="116">
        <f t="shared" si="1"/>
        <v>52</v>
      </c>
      <c r="F20" s="50">
        <f t="shared" si="2"/>
        <v>6.5573770491803351E-2</v>
      </c>
      <c r="G20" s="115" t="s">
        <v>315</v>
      </c>
    </row>
    <row r="21" spans="2:7" ht="20.25" customHeight="1" x14ac:dyDescent="0.45">
      <c r="B21" s="26" t="s">
        <v>316</v>
      </c>
      <c r="C21" s="93">
        <v>6852</v>
      </c>
      <c r="D21" s="93">
        <v>6534</v>
      </c>
      <c r="E21" s="27">
        <f t="shared" si="1"/>
        <v>318</v>
      </c>
      <c r="F21" s="80">
        <f t="shared" si="2"/>
        <v>4.866850321395777E-2</v>
      </c>
      <c r="G21" s="121" t="s">
        <v>317</v>
      </c>
    </row>
    <row r="22" spans="2:7" ht="20.25" customHeight="1" x14ac:dyDescent="0.45">
      <c r="B22" s="103" t="s">
        <v>318</v>
      </c>
      <c r="C22" s="48">
        <v>3558</v>
      </c>
      <c r="D22" s="48">
        <v>3297</v>
      </c>
      <c r="E22" s="116">
        <f t="shared" si="1"/>
        <v>261</v>
      </c>
      <c r="F22" s="50">
        <f t="shared" si="2"/>
        <v>7.9162875341219241E-2</v>
      </c>
      <c r="G22" s="115" t="s">
        <v>319</v>
      </c>
    </row>
    <row r="23" spans="2:7" ht="20.25" customHeight="1" x14ac:dyDescent="0.45">
      <c r="B23" s="103" t="s">
        <v>320</v>
      </c>
      <c r="C23" s="48">
        <v>2325</v>
      </c>
      <c r="D23" s="48">
        <v>2340</v>
      </c>
      <c r="E23" s="116">
        <f t="shared" si="1"/>
        <v>-15</v>
      </c>
      <c r="F23" s="50">
        <f t="shared" si="2"/>
        <v>-6.4102564102563875E-3</v>
      </c>
      <c r="G23" s="115" t="s">
        <v>321</v>
      </c>
    </row>
    <row r="24" spans="2:7" ht="20.25" customHeight="1" x14ac:dyDescent="0.45">
      <c r="B24" s="26" t="s">
        <v>322</v>
      </c>
      <c r="C24" s="93">
        <v>1980</v>
      </c>
      <c r="D24" s="93">
        <v>1491</v>
      </c>
      <c r="E24" s="27">
        <f t="shared" si="1"/>
        <v>489</v>
      </c>
      <c r="F24" s="80">
        <f t="shared" si="2"/>
        <v>0.32796780684104632</v>
      </c>
      <c r="G24" s="121" t="s">
        <v>323</v>
      </c>
    </row>
    <row r="26" spans="2:7" ht="21.75" customHeight="1" x14ac:dyDescent="0.45">
      <c r="B26" s="208" t="s">
        <v>324</v>
      </c>
      <c r="C26" s="208"/>
      <c r="D26" s="208"/>
      <c r="E26" s="208"/>
      <c r="F26" s="208"/>
      <c r="G26" s="208"/>
    </row>
    <row r="27" spans="2:7" ht="20.25" customHeight="1" x14ac:dyDescent="0.45">
      <c r="B27" s="126" t="s">
        <v>325</v>
      </c>
      <c r="C27" s="127">
        <v>-98</v>
      </c>
      <c r="D27" s="128" t="s">
        <v>284</v>
      </c>
      <c r="E27" s="129" t="s">
        <v>137</v>
      </c>
      <c r="F27" s="129" t="s">
        <v>137</v>
      </c>
      <c r="G27" s="130" t="s">
        <v>326</v>
      </c>
    </row>
    <row r="28" spans="2:7" ht="15" customHeight="1" x14ac:dyDescent="0.45">
      <c r="B28" s="88" t="s">
        <v>327</v>
      </c>
      <c r="C28" s="131">
        <v>360</v>
      </c>
      <c r="D28" s="132" t="s">
        <v>284</v>
      </c>
      <c r="E28" s="117" t="s">
        <v>137</v>
      </c>
      <c r="F28" s="117" t="s">
        <v>137</v>
      </c>
      <c r="G28" s="133" t="s">
        <v>328</v>
      </c>
    </row>
    <row r="29" spans="2:7" ht="15" customHeight="1" x14ac:dyDescent="0.45">
      <c r="B29" s="134" t="s">
        <v>329</v>
      </c>
      <c r="C29" s="135">
        <v>-200</v>
      </c>
      <c r="D29" s="136" t="s">
        <v>284</v>
      </c>
      <c r="E29" s="137" t="s">
        <v>137</v>
      </c>
      <c r="F29" s="137" t="s">
        <v>137</v>
      </c>
      <c r="G29" s="138" t="s">
        <v>330</v>
      </c>
    </row>
    <row r="30" spans="2:7" ht="20.25" customHeight="1" x14ac:dyDescent="0.45">
      <c r="B30" s="26" t="s">
        <v>331</v>
      </c>
      <c r="C30" s="27">
        <f>SUM(C27:C29)</f>
        <v>62</v>
      </c>
      <c r="D30" s="139" t="s">
        <v>284</v>
      </c>
      <c r="E30" s="96" t="s">
        <v>137</v>
      </c>
      <c r="F30" s="96" t="s">
        <v>137</v>
      </c>
      <c r="G30" s="140" t="s">
        <v>332</v>
      </c>
    </row>
    <row r="32" spans="2:7" ht="49.5" customHeight="1" x14ac:dyDescent="0.45">
      <c r="B32" s="207" t="s">
        <v>333</v>
      </c>
      <c r="C32" s="207"/>
      <c r="D32" s="207"/>
      <c r="E32" s="207"/>
      <c r="F32" s="207"/>
      <c r="G32" s="207"/>
    </row>
  </sheetData>
  <mergeCells count="6">
    <mergeCell ref="B32:G32"/>
    <mergeCell ref="B1:G1"/>
    <mergeCell ref="B2:G2"/>
    <mergeCell ref="B5:G5"/>
    <mergeCell ref="B16:G16"/>
    <mergeCell ref="B26:G26"/>
  </mergeCells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4A148C"/>
  </sheetPr>
  <dimension ref="B1:H22"/>
  <sheetViews>
    <sheetView showGridLines="0" zoomScaleNormal="100" workbookViewId="0"/>
  </sheetViews>
  <sheetFormatPr defaultColWidth="8.6640625" defaultRowHeight="14.25" x14ac:dyDescent="0.45"/>
  <cols>
    <col min="1" max="1" width="3" customWidth="1"/>
    <col min="2" max="2" width="40" customWidth="1"/>
    <col min="3" max="6" width="15" customWidth="1"/>
    <col min="7" max="7" width="42" customWidth="1"/>
    <col min="8" max="8" width="3" customWidth="1"/>
  </cols>
  <sheetData>
    <row r="1" spans="2:8" ht="25.5" customHeight="1" x14ac:dyDescent="0.45">
      <c r="B1" s="1" t="s">
        <v>334</v>
      </c>
      <c r="C1" s="1"/>
      <c r="D1" s="1"/>
      <c r="E1" s="1"/>
      <c r="F1" s="1"/>
      <c r="G1" s="1"/>
    </row>
    <row r="2" spans="2:8" ht="37.5" customHeight="1" x14ac:dyDescent="0.45">
      <c r="B2" s="207" t="s">
        <v>335</v>
      </c>
      <c r="C2" s="207"/>
      <c r="D2" s="207"/>
      <c r="E2" s="207"/>
      <c r="F2" s="207"/>
      <c r="G2" s="207"/>
    </row>
    <row r="3" spans="2:8" ht="21.75" customHeight="1" x14ac:dyDescent="0.45">
      <c r="B3" s="51" t="s">
        <v>336</v>
      </c>
      <c r="C3" s="51" t="s">
        <v>337</v>
      </c>
      <c r="D3" s="51" t="s">
        <v>338</v>
      </c>
      <c r="E3" s="51" t="s">
        <v>339</v>
      </c>
      <c r="F3" s="51" t="s">
        <v>340</v>
      </c>
      <c r="G3" s="51" t="s">
        <v>341</v>
      </c>
      <c r="H3" s="51" t="s">
        <v>37</v>
      </c>
    </row>
    <row r="4" spans="2:8" ht="21.75" customHeight="1" x14ac:dyDescent="0.45">
      <c r="B4" s="208" t="s">
        <v>342</v>
      </c>
      <c r="C4" s="208"/>
      <c r="D4" s="208"/>
      <c r="E4" s="208"/>
      <c r="F4" s="208"/>
      <c r="G4" s="208"/>
    </row>
    <row r="5" spans="2:8" ht="15" customHeight="1" x14ac:dyDescent="0.45">
      <c r="B5" s="26" t="s">
        <v>343</v>
      </c>
      <c r="C5" s="93">
        <v>5100</v>
      </c>
      <c r="D5" s="141" t="s">
        <v>137</v>
      </c>
      <c r="E5" s="141" t="s">
        <v>137</v>
      </c>
      <c r="F5" s="141" t="s">
        <v>137</v>
      </c>
      <c r="G5" s="121" t="s">
        <v>344</v>
      </c>
    </row>
    <row r="6" spans="2:8" ht="15" customHeight="1" x14ac:dyDescent="0.45">
      <c r="B6" s="19" t="s">
        <v>345</v>
      </c>
      <c r="C6" s="46" t="s">
        <v>346</v>
      </c>
      <c r="D6" s="24">
        <v>2461</v>
      </c>
      <c r="E6" s="24">
        <v>2550</v>
      </c>
      <c r="F6" s="24">
        <v>2680</v>
      </c>
      <c r="G6" s="24">
        <v>2800</v>
      </c>
    </row>
    <row r="7" spans="2:8" ht="15" customHeight="1" x14ac:dyDescent="0.45">
      <c r="B7" s="32" t="s">
        <v>347</v>
      </c>
      <c r="C7" s="142" t="s">
        <v>348</v>
      </c>
      <c r="D7" s="143" t="s">
        <v>349</v>
      </c>
      <c r="E7" s="143" t="s">
        <v>349</v>
      </c>
      <c r="F7" s="143" t="s">
        <v>350</v>
      </c>
      <c r="G7" s="143" t="s">
        <v>350</v>
      </c>
    </row>
    <row r="9" spans="2:8" ht="21.75" customHeight="1" x14ac:dyDescent="0.45">
      <c r="B9" s="208" t="s">
        <v>351</v>
      </c>
      <c r="C9" s="208"/>
      <c r="D9" s="208"/>
      <c r="E9" s="208"/>
      <c r="F9" s="208"/>
      <c r="G9" s="208"/>
    </row>
    <row r="10" spans="2:8" ht="15" customHeight="1" x14ac:dyDescent="0.45">
      <c r="B10" s="26" t="s">
        <v>352</v>
      </c>
      <c r="C10" s="93">
        <v>0</v>
      </c>
      <c r="D10" s="93">
        <v>1600</v>
      </c>
      <c r="E10" s="93">
        <v>1750</v>
      </c>
      <c r="F10" s="93">
        <v>1900</v>
      </c>
      <c r="G10" s="93">
        <v>2050</v>
      </c>
    </row>
    <row r="11" spans="2:8" ht="15" customHeight="1" x14ac:dyDescent="0.45">
      <c r="B11" s="19" t="s">
        <v>353</v>
      </c>
      <c r="C11" s="144" t="s">
        <v>137</v>
      </c>
      <c r="D11" s="58">
        <v>0.22</v>
      </c>
      <c r="E11" s="58">
        <v>0.23499999999999999</v>
      </c>
      <c r="F11" s="58">
        <v>0.255</v>
      </c>
      <c r="G11" s="58">
        <v>0.27500000000000002</v>
      </c>
    </row>
    <row r="12" spans="2:8" ht="15" customHeight="1" x14ac:dyDescent="0.45">
      <c r="B12" s="38" t="s">
        <v>354</v>
      </c>
      <c r="C12" s="145" t="s">
        <v>137</v>
      </c>
      <c r="D12" s="146">
        <f>D10*D11</f>
        <v>352</v>
      </c>
      <c r="E12" s="146">
        <f>E10*E11</f>
        <v>411.25</v>
      </c>
      <c r="F12" s="146">
        <f>F10*F11</f>
        <v>484.5</v>
      </c>
      <c r="G12" s="146">
        <f>G10*G11</f>
        <v>563.75</v>
      </c>
    </row>
    <row r="13" spans="2:8" ht="15" customHeight="1" x14ac:dyDescent="0.45">
      <c r="B13" s="32" t="s">
        <v>355</v>
      </c>
      <c r="C13" s="141" t="s">
        <v>137</v>
      </c>
      <c r="D13" s="114">
        <v>50</v>
      </c>
      <c r="E13" s="114">
        <v>150</v>
      </c>
      <c r="F13" s="114">
        <v>275</v>
      </c>
      <c r="G13" s="114">
        <v>400</v>
      </c>
    </row>
    <row r="14" spans="2:8" ht="15" customHeight="1" x14ac:dyDescent="0.45">
      <c r="B14" s="19" t="s">
        <v>356</v>
      </c>
      <c r="C14" s="144" t="s">
        <v>137</v>
      </c>
      <c r="D14" s="48">
        <v>0</v>
      </c>
      <c r="E14" s="48">
        <v>40</v>
      </c>
      <c r="F14" s="48">
        <v>90</v>
      </c>
      <c r="G14" s="48">
        <v>150</v>
      </c>
    </row>
    <row r="15" spans="2:8" ht="15" customHeight="1" x14ac:dyDescent="0.45">
      <c r="B15" s="147" t="s">
        <v>357</v>
      </c>
      <c r="C15" s="145" t="s">
        <v>137</v>
      </c>
      <c r="D15" s="146">
        <f>D13+D14</f>
        <v>50</v>
      </c>
      <c r="E15" s="146">
        <f>E13+E14</f>
        <v>190</v>
      </c>
      <c r="F15" s="146">
        <f>F13+F14</f>
        <v>365</v>
      </c>
      <c r="G15" s="146">
        <f>G13+G14</f>
        <v>550</v>
      </c>
    </row>
    <row r="17" spans="2:7" ht="21.75" customHeight="1" x14ac:dyDescent="0.45">
      <c r="B17" s="208" t="s">
        <v>358</v>
      </c>
      <c r="C17" s="208"/>
      <c r="D17" s="208"/>
      <c r="E17" s="208"/>
      <c r="F17" s="208"/>
      <c r="G17" s="208"/>
    </row>
    <row r="18" spans="2:7" ht="15" customHeight="1" x14ac:dyDescent="0.45">
      <c r="B18" s="19" t="s">
        <v>359</v>
      </c>
      <c r="C18" s="58">
        <v>0.25</v>
      </c>
      <c r="D18" s="50">
        <f>C18</f>
        <v>0.25</v>
      </c>
      <c r="E18" s="50">
        <f>C18</f>
        <v>0.25</v>
      </c>
      <c r="F18" s="50">
        <f>C18</f>
        <v>0.25</v>
      </c>
      <c r="G18" s="50">
        <f>C18</f>
        <v>0.25</v>
      </c>
    </row>
    <row r="19" spans="2:7" ht="15" customHeight="1" x14ac:dyDescent="0.45">
      <c r="B19" s="38" t="s">
        <v>360</v>
      </c>
      <c r="C19" s="145" t="s">
        <v>137</v>
      </c>
      <c r="D19" s="146">
        <f>(D12+D15)*(1-D18)</f>
        <v>301.5</v>
      </c>
      <c r="E19" s="146">
        <f>(E12+E15)*(1-E18)</f>
        <v>450.9375</v>
      </c>
      <c r="F19" s="146">
        <f>(F12+F15)*(1-F18)</f>
        <v>637.125</v>
      </c>
      <c r="G19" s="146">
        <f>(G12+G15)*(1-G18)</f>
        <v>835.3125</v>
      </c>
    </row>
    <row r="20" spans="2:7" ht="15" customHeight="1" x14ac:dyDescent="0.45">
      <c r="B20" s="148" t="s">
        <v>361</v>
      </c>
      <c r="C20" s="149" t="s">
        <v>137</v>
      </c>
      <c r="D20" s="150">
        <f>D19/$C$5</f>
        <v>5.9117647058823532E-2</v>
      </c>
      <c r="E20" s="150">
        <f>E19/$C$5</f>
        <v>8.8419117647058829E-2</v>
      </c>
      <c r="F20" s="150">
        <f>F19/$C$5</f>
        <v>0.12492647058823529</v>
      </c>
      <c r="G20" s="150">
        <f>G19/$C$5</f>
        <v>0.16378676470588235</v>
      </c>
    </row>
    <row r="22" spans="2:7" ht="133.5" customHeight="1" x14ac:dyDescent="0.45">
      <c r="B22" s="210" t="s">
        <v>362</v>
      </c>
      <c r="C22" s="210"/>
      <c r="D22" s="210"/>
      <c r="E22" s="210"/>
      <c r="F22" s="210"/>
      <c r="G22" s="210"/>
    </row>
  </sheetData>
  <mergeCells count="6">
    <mergeCell ref="B22:G22"/>
    <mergeCell ref="B1:G1"/>
    <mergeCell ref="B2:G2"/>
    <mergeCell ref="B4:G4"/>
    <mergeCell ref="B9:G9"/>
    <mergeCell ref="B17:G17"/>
  </mergeCells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1B5E20"/>
  </sheetPr>
  <dimension ref="B1:G26"/>
  <sheetViews>
    <sheetView showGridLines="0" zoomScaleNormal="100" workbookViewId="0"/>
  </sheetViews>
  <sheetFormatPr defaultColWidth="8.6640625" defaultRowHeight="14.25" x14ac:dyDescent="0.45"/>
  <cols>
    <col min="1" max="1" width="3" customWidth="1"/>
    <col min="2" max="2" width="40" customWidth="1"/>
    <col min="3" max="6" width="15" customWidth="1"/>
    <col min="7" max="7" width="40" customWidth="1"/>
    <col min="8" max="8" width="3" customWidth="1"/>
  </cols>
  <sheetData>
    <row r="1" spans="2:7" ht="25.5" customHeight="1" x14ac:dyDescent="0.45">
      <c r="B1" s="1" t="s">
        <v>363</v>
      </c>
      <c r="C1" s="1"/>
      <c r="D1" s="1"/>
      <c r="E1" s="1"/>
      <c r="F1" s="1"/>
      <c r="G1" s="1"/>
    </row>
    <row r="2" spans="2:7" ht="37.5" customHeight="1" x14ac:dyDescent="0.45">
      <c r="B2" s="207" t="s">
        <v>364</v>
      </c>
      <c r="C2" s="207"/>
      <c r="D2" s="207"/>
      <c r="E2" s="207"/>
      <c r="F2" s="207"/>
      <c r="G2" s="207"/>
    </row>
    <row r="3" spans="2:7" ht="21.75" customHeight="1" x14ac:dyDescent="0.45">
      <c r="B3" s="51" t="s">
        <v>33</v>
      </c>
      <c r="C3" s="51" t="s">
        <v>365</v>
      </c>
      <c r="D3" s="51" t="s">
        <v>366</v>
      </c>
      <c r="E3" s="51" t="s">
        <v>367</v>
      </c>
      <c r="F3" s="51" t="s">
        <v>338</v>
      </c>
      <c r="G3" s="51" t="s">
        <v>37</v>
      </c>
    </row>
    <row r="4" spans="2:7" ht="21.75" customHeight="1" x14ac:dyDescent="0.45">
      <c r="B4" s="208" t="s">
        <v>368</v>
      </c>
      <c r="C4" s="208"/>
      <c r="D4" s="208"/>
      <c r="E4" s="208"/>
      <c r="F4" s="208"/>
      <c r="G4" s="208"/>
    </row>
    <row r="5" spans="2:7" ht="15" customHeight="1" x14ac:dyDescent="0.45">
      <c r="B5" s="26" t="s">
        <v>270</v>
      </c>
      <c r="C5" s="59">
        <f>'Historical Financials'!E20</f>
        <v>4.5999999999999996</v>
      </c>
      <c r="D5" s="59">
        <f>'Historical Financials'!F20</f>
        <v>4.79</v>
      </c>
      <c r="E5" s="59">
        <f>'Historical Financials'!G20</f>
        <v>5.16</v>
      </c>
      <c r="F5" s="61">
        <f>Assumptions!C28*Assumptions!C34</f>
        <v>5.6595000000000004</v>
      </c>
      <c r="G5" s="121" t="s">
        <v>369</v>
      </c>
    </row>
    <row r="6" spans="2:7" ht="15" customHeight="1" x14ac:dyDescent="0.45">
      <c r="B6" s="103" t="s">
        <v>370</v>
      </c>
      <c r="C6" s="104" t="s">
        <v>137</v>
      </c>
      <c r="D6" s="50">
        <f>D5/C5-1</f>
        <v>4.1304347826087051E-2</v>
      </c>
      <c r="E6" s="50">
        <f>E5/D5-1</f>
        <v>7.7244258872651406E-2</v>
      </c>
      <c r="F6" s="50">
        <f>F5/E5-1</f>
        <v>9.6802325581395454E-2</v>
      </c>
      <c r="G6" s="115" t="s">
        <v>371</v>
      </c>
    </row>
    <row r="7" spans="2:7" ht="15" customHeight="1" x14ac:dyDescent="0.45">
      <c r="B7" s="110" t="s">
        <v>372</v>
      </c>
      <c r="C7" s="151">
        <f>C5/'Live Market Data'!$C$5</f>
        <v>5.1592642440556301E-2</v>
      </c>
      <c r="D7" s="151">
        <f>D5/'Live Market Data'!$C$5</f>
        <v>5.3723642889187982E-2</v>
      </c>
      <c r="E7" s="151">
        <f>E5/'Live Market Data'!$C$5</f>
        <v>5.7873485868102294E-2</v>
      </c>
      <c r="F7" s="151">
        <f>F5/'Live Market Data'!$C$5</f>
        <v>6.3475773889636614E-2</v>
      </c>
      <c r="G7" s="133" t="s">
        <v>373</v>
      </c>
    </row>
    <row r="9" spans="2:7" ht="15" customHeight="1" x14ac:dyDescent="0.45">
      <c r="B9" s="35" t="s">
        <v>374</v>
      </c>
      <c r="C9" s="152">
        <f>'Historical Financials'!E15</f>
        <v>10996</v>
      </c>
      <c r="D9" s="152">
        <f>'Historical Financials'!F15</f>
        <v>11688</v>
      </c>
      <c r="E9" s="152">
        <f>'Historical Financials'!G15</f>
        <v>12225</v>
      </c>
      <c r="F9" s="100">
        <f>'Historical Financials'!G15*(1+Assumptions!C33)</f>
        <v>13447.500000000002</v>
      </c>
      <c r="G9" s="115" t="s">
        <v>375</v>
      </c>
    </row>
    <row r="10" spans="2:7" ht="15" customHeight="1" x14ac:dyDescent="0.45">
      <c r="B10" s="95" t="s">
        <v>376</v>
      </c>
      <c r="C10" s="97">
        <f>C5*'Live Market Data'!$C$6/C9</f>
        <v>0.46016733357584577</v>
      </c>
      <c r="D10" s="97">
        <f>D5*'Live Market Data'!$C$6/D9</f>
        <v>0.45080424366872007</v>
      </c>
      <c r="E10" s="97">
        <f>E5*'Live Market Data'!$C$6/E9</f>
        <v>0.46429447852760736</v>
      </c>
      <c r="F10" s="97">
        <f>F5*'Live Market Data'!$C$6/F9</f>
        <v>0.46294478527607363</v>
      </c>
      <c r="G10" s="121" t="s">
        <v>377</v>
      </c>
    </row>
    <row r="12" spans="2:7" ht="21.75" customHeight="1" x14ac:dyDescent="0.45">
      <c r="B12" s="208" t="s">
        <v>378</v>
      </c>
      <c r="C12" s="208"/>
      <c r="D12" s="208"/>
      <c r="E12" s="208"/>
      <c r="F12" s="208"/>
      <c r="G12" s="208"/>
    </row>
    <row r="13" spans="2:7" ht="15" customHeight="1" x14ac:dyDescent="0.45">
      <c r="B13" s="26" t="s">
        <v>379</v>
      </c>
      <c r="C13" s="94">
        <f>'Historical Financials'!E29</f>
        <v>2200</v>
      </c>
      <c r="D13" s="94">
        <f>'Historical Financials'!F29</f>
        <v>2300</v>
      </c>
      <c r="E13" s="94">
        <f>'Historical Financials'!G29</f>
        <v>1150</v>
      </c>
      <c r="F13" s="27">
        <f>Assumptions!C29*F9</f>
        <v>1344.7499999999998</v>
      </c>
      <c r="G13" s="121" t="s">
        <v>380</v>
      </c>
    </row>
    <row r="14" spans="2:7" ht="15" customHeight="1" x14ac:dyDescent="0.45">
      <c r="B14" s="103" t="s">
        <v>381</v>
      </c>
      <c r="C14" s="50">
        <f>C13/C9</f>
        <v>0.20007275372862859</v>
      </c>
      <c r="D14" s="50">
        <f>D13/D9</f>
        <v>0.19678302532511979</v>
      </c>
      <c r="E14" s="50">
        <f>E13/E9</f>
        <v>9.4069529652351741E-2</v>
      </c>
      <c r="F14" s="50">
        <f>F13/F9</f>
        <v>9.9999999999999964E-2</v>
      </c>
      <c r="G14" s="115" t="s">
        <v>382</v>
      </c>
    </row>
    <row r="16" spans="2:7" ht="21.75" customHeight="1" x14ac:dyDescent="0.45">
      <c r="B16" s="208" t="s">
        <v>383</v>
      </c>
      <c r="C16" s="208"/>
      <c r="D16" s="208"/>
      <c r="E16" s="208"/>
      <c r="F16" s="208"/>
      <c r="G16" s="208"/>
    </row>
    <row r="17" spans="2:7" ht="20.25" customHeight="1" x14ac:dyDescent="0.45">
      <c r="B17" s="38" t="s">
        <v>384</v>
      </c>
      <c r="C17" s="146">
        <f>C5*'Live Market Data'!$C$6+C13</f>
        <v>7260</v>
      </c>
      <c r="D17" s="146">
        <f>D5*'Live Market Data'!$C$6+D13</f>
        <v>7569</v>
      </c>
      <c r="E17" s="146">
        <f>E5*'Live Market Data'!$C$6+E13</f>
        <v>6826</v>
      </c>
      <c r="F17" s="146">
        <f>F5*'Live Market Data'!$C$6+F13</f>
        <v>7570.2000000000007</v>
      </c>
      <c r="G17" s="133" t="s">
        <v>385</v>
      </c>
    </row>
    <row r="18" spans="2:7" ht="15" customHeight="1" x14ac:dyDescent="0.45">
      <c r="B18" s="153" t="s">
        <v>386</v>
      </c>
      <c r="C18" s="154">
        <f>C17/C9</f>
        <v>0.66024008730447437</v>
      </c>
      <c r="D18" s="154">
        <f>D17/D9</f>
        <v>0.64758726899383978</v>
      </c>
      <c r="E18" s="154">
        <f>E17/E9</f>
        <v>0.55836400817995913</v>
      </c>
      <c r="F18" s="154">
        <f>F17/F9</f>
        <v>0.56294478527607361</v>
      </c>
      <c r="G18" s="133" t="s">
        <v>387</v>
      </c>
    </row>
    <row r="20" spans="2:7" ht="21.75" customHeight="1" x14ac:dyDescent="0.45">
      <c r="B20" s="208" t="s">
        <v>388</v>
      </c>
      <c r="C20" s="208"/>
      <c r="D20" s="208"/>
      <c r="E20" s="208"/>
      <c r="F20" s="208"/>
      <c r="G20" s="208"/>
    </row>
    <row r="21" spans="2:7" ht="20.25" customHeight="1" x14ac:dyDescent="0.45">
      <c r="B21" s="19" t="s">
        <v>389</v>
      </c>
      <c r="C21" s="155">
        <f>'Live Market Data'!C21</f>
        <v>0.128</v>
      </c>
      <c r="D21" s="144" t="s">
        <v>390</v>
      </c>
      <c r="E21" s="144" t="s">
        <v>137</v>
      </c>
      <c r="F21" s="144" t="s">
        <v>137</v>
      </c>
      <c r="G21" s="115" t="s">
        <v>391</v>
      </c>
    </row>
    <row r="22" spans="2:7" ht="20.25" customHeight="1" x14ac:dyDescent="0.45">
      <c r="B22" s="32" t="s">
        <v>392</v>
      </c>
      <c r="C22" s="109">
        <f>Assumptions!C26</f>
        <v>0.13</v>
      </c>
      <c r="D22" s="141" t="s">
        <v>393</v>
      </c>
      <c r="E22" s="141" t="s">
        <v>137</v>
      </c>
      <c r="F22" s="141" t="s">
        <v>137</v>
      </c>
      <c r="G22" s="121" t="s">
        <v>394</v>
      </c>
    </row>
    <row r="23" spans="2:7" ht="20.25" customHeight="1" x14ac:dyDescent="0.45">
      <c r="B23" s="147" t="s">
        <v>395</v>
      </c>
      <c r="C23" s="156">
        <f>(C21-C22)*10000</f>
        <v>-20.000000000000018</v>
      </c>
      <c r="D23" s="145" t="s">
        <v>396</v>
      </c>
      <c r="E23" s="145" t="s">
        <v>137</v>
      </c>
      <c r="F23" s="145" t="s">
        <v>137</v>
      </c>
      <c r="G23" s="133" t="s">
        <v>397</v>
      </c>
    </row>
    <row r="24" spans="2:7" ht="20.25" customHeight="1" x14ac:dyDescent="0.45">
      <c r="B24" s="19" t="s">
        <v>398</v>
      </c>
      <c r="C24" s="46" t="s">
        <v>399</v>
      </c>
      <c r="D24" s="144" t="s">
        <v>400</v>
      </c>
      <c r="E24" s="144" t="s">
        <v>137</v>
      </c>
      <c r="F24" s="144" t="s">
        <v>137</v>
      </c>
      <c r="G24" s="115" t="s">
        <v>401</v>
      </c>
    </row>
    <row r="26" spans="2:7" ht="187.5" customHeight="1" x14ac:dyDescent="0.45">
      <c r="B26" s="211" t="s">
        <v>402</v>
      </c>
      <c r="C26" s="211"/>
      <c r="D26" s="211"/>
      <c r="E26" s="211"/>
      <c r="F26" s="211"/>
      <c r="G26" s="211"/>
    </row>
  </sheetData>
  <mergeCells count="7">
    <mergeCell ref="B20:G20"/>
    <mergeCell ref="B26:G26"/>
    <mergeCell ref="B1:G1"/>
    <mergeCell ref="B2:G2"/>
    <mergeCell ref="B4:G4"/>
    <mergeCell ref="B12:G12"/>
    <mergeCell ref="B16:G16"/>
  </mergeCells>
  <pageMargins left="0.75" right="0.75" top="1" bottom="1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1B5E20"/>
  </sheetPr>
  <dimension ref="B1:I42"/>
  <sheetViews>
    <sheetView showGridLines="0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ColWidth="8.6640625" defaultRowHeight="14.25" x14ac:dyDescent="0.45"/>
  <cols>
    <col min="1" max="1" width="3" customWidth="1"/>
    <col min="2" max="2" width="40" customWidth="1"/>
    <col min="3" max="8" width="12" customWidth="1"/>
    <col min="9" max="9" width="3" customWidth="1"/>
  </cols>
  <sheetData>
    <row r="1" spans="2:8" ht="25.5" customHeight="1" x14ac:dyDescent="0.45">
      <c r="B1" s="1" t="s">
        <v>403</v>
      </c>
      <c r="C1" s="1"/>
      <c r="D1" s="1"/>
      <c r="E1" s="1"/>
      <c r="F1" s="1"/>
      <c r="G1" s="1"/>
      <c r="H1" s="1"/>
    </row>
    <row r="2" spans="2:8" ht="37.5" customHeight="1" x14ac:dyDescent="0.45">
      <c r="B2" s="207" t="s">
        <v>404</v>
      </c>
      <c r="C2" s="207"/>
      <c r="D2" s="207"/>
      <c r="E2" s="207"/>
      <c r="F2" s="207"/>
      <c r="G2" s="207"/>
      <c r="H2" s="207"/>
    </row>
    <row r="4" spans="2:8" ht="21.75" customHeight="1" x14ac:dyDescent="0.45">
      <c r="B4" s="208" t="s">
        <v>405</v>
      </c>
      <c r="C4" s="208"/>
      <c r="D4" s="208"/>
      <c r="E4" s="208"/>
      <c r="F4" s="208"/>
      <c r="G4" s="208"/>
      <c r="H4" s="208"/>
    </row>
    <row r="5" spans="2:8" ht="21.75" customHeight="1" x14ac:dyDescent="0.45">
      <c r="B5" s="51"/>
      <c r="C5" s="51" t="s">
        <v>367</v>
      </c>
      <c r="D5" s="51" t="s">
        <v>338</v>
      </c>
      <c r="E5" s="51" t="s">
        <v>339</v>
      </c>
      <c r="F5" s="51" t="s">
        <v>340</v>
      </c>
      <c r="G5" s="51" t="s">
        <v>341</v>
      </c>
      <c r="H5" s="51" t="s">
        <v>406</v>
      </c>
    </row>
    <row r="6" spans="2:8" ht="15" customHeight="1" x14ac:dyDescent="0.45">
      <c r="B6" s="26" t="s">
        <v>407</v>
      </c>
      <c r="C6" s="59">
        <f>'Live Market Data'!C14</f>
        <v>96.6</v>
      </c>
      <c r="D6" s="61">
        <f>C6*(1+Assumptions!$C$15)</f>
        <v>103.84499999999998</v>
      </c>
      <c r="E6" s="61">
        <f>D6*(1+Assumptions!$C$15)</f>
        <v>111.63337499999997</v>
      </c>
      <c r="F6" s="61">
        <f>E6*(1+Assumptions!$C$15)</f>
        <v>120.00587812499997</v>
      </c>
      <c r="G6" s="61">
        <f>F6*(1+Assumptions!$C$15)</f>
        <v>129.00631898437496</v>
      </c>
      <c r="H6" s="61">
        <f>G6*(1+Assumptions!$C$15)</f>
        <v>138.68179290820308</v>
      </c>
    </row>
    <row r="7" spans="2:8" ht="15" customHeight="1" x14ac:dyDescent="0.45">
      <c r="B7" s="19" t="s">
        <v>408</v>
      </c>
      <c r="C7" s="155">
        <f>'Historical Financials'!G22</f>
        <v>0.11600000000000001</v>
      </c>
      <c r="D7" s="58">
        <v>0.12</v>
      </c>
      <c r="E7" s="58">
        <v>0.125</v>
      </c>
      <c r="F7" s="58">
        <v>0.13500000000000001</v>
      </c>
      <c r="G7" s="58">
        <v>0.13700000000000001</v>
      </c>
      <c r="H7" s="58">
        <v>0.13800000000000001</v>
      </c>
    </row>
    <row r="8" spans="2:8" ht="15" customHeight="1" x14ac:dyDescent="0.45">
      <c r="B8" s="35" t="s">
        <v>409</v>
      </c>
      <c r="C8" s="157">
        <f t="shared" ref="C8:H8" si="0">C6*C7</f>
        <v>11.2056</v>
      </c>
      <c r="D8" s="157">
        <f t="shared" si="0"/>
        <v>12.461399999999998</v>
      </c>
      <c r="E8" s="157">
        <f t="shared" si="0"/>
        <v>13.954171874999997</v>
      </c>
      <c r="F8" s="157">
        <f t="shared" si="0"/>
        <v>16.200793546874998</v>
      </c>
      <c r="G8" s="157">
        <f t="shared" si="0"/>
        <v>17.67386570085937</v>
      </c>
      <c r="H8" s="157">
        <f t="shared" si="0"/>
        <v>19.138087421332028</v>
      </c>
    </row>
    <row r="9" spans="2:8" ht="15" customHeight="1" x14ac:dyDescent="0.45">
      <c r="B9" s="32" t="s">
        <v>410</v>
      </c>
      <c r="C9" s="109">
        <f>Assumptions!$C$9</f>
        <v>9.2999999999999999E-2</v>
      </c>
      <c r="D9" s="109">
        <f>Assumptions!$C$9</f>
        <v>9.2999999999999999E-2</v>
      </c>
      <c r="E9" s="109">
        <f>Assumptions!$C$9</f>
        <v>9.2999999999999999E-2</v>
      </c>
      <c r="F9" s="109">
        <f>Assumptions!$C$9</f>
        <v>9.2999999999999999E-2</v>
      </c>
      <c r="G9" s="109">
        <f>Assumptions!$C$9</f>
        <v>9.2999999999999999E-2</v>
      </c>
      <c r="H9" s="109">
        <f>Assumptions!$C$9</f>
        <v>9.2999999999999999E-2</v>
      </c>
    </row>
    <row r="10" spans="2:8" ht="15" customHeight="1" x14ac:dyDescent="0.45">
      <c r="B10" s="147" t="s">
        <v>411</v>
      </c>
      <c r="C10" s="158">
        <f t="shared" ref="C10:H10" si="1">C8-C9*C6</f>
        <v>2.2218000000000018</v>
      </c>
      <c r="D10" s="158">
        <f t="shared" si="1"/>
        <v>2.8038149999999984</v>
      </c>
      <c r="E10" s="158">
        <f t="shared" si="1"/>
        <v>3.5722679999999993</v>
      </c>
      <c r="F10" s="158">
        <f t="shared" si="1"/>
        <v>5.0402468812500008</v>
      </c>
      <c r="G10" s="158">
        <f t="shared" si="1"/>
        <v>5.6762780353124995</v>
      </c>
      <c r="H10" s="158">
        <f t="shared" si="1"/>
        <v>6.2406806808691417</v>
      </c>
    </row>
    <row r="11" spans="2:8" ht="15" customHeight="1" x14ac:dyDescent="0.45">
      <c r="B11" s="19" t="s">
        <v>412</v>
      </c>
      <c r="C11" s="159">
        <v>0</v>
      </c>
      <c r="D11" s="159">
        <v>0.5</v>
      </c>
      <c r="E11" s="159">
        <v>1.5</v>
      </c>
      <c r="F11" s="159">
        <v>2.5</v>
      </c>
      <c r="G11" s="159">
        <v>3.5</v>
      </c>
      <c r="H11" s="159">
        <v>4.5</v>
      </c>
    </row>
    <row r="12" spans="2:8" ht="15" customHeight="1" x14ac:dyDescent="0.45">
      <c r="B12" s="32" t="s">
        <v>413</v>
      </c>
      <c r="C12" s="160">
        <f t="shared" ref="C12:H12" si="2">1/(1+C9)^C11</f>
        <v>1</v>
      </c>
      <c r="D12" s="160">
        <f t="shared" si="2"/>
        <v>0.95651089029717296</v>
      </c>
      <c r="E12" s="160">
        <f t="shared" si="2"/>
        <v>0.87512432781077143</v>
      </c>
      <c r="F12" s="160">
        <f t="shared" si="2"/>
        <v>0.80066269699064163</v>
      </c>
      <c r="G12" s="160">
        <f t="shared" si="2"/>
        <v>0.73253677675264561</v>
      </c>
      <c r="H12" s="160">
        <f t="shared" si="2"/>
        <v>0.670207481017974</v>
      </c>
    </row>
    <row r="13" spans="2:8" ht="15" customHeight="1" x14ac:dyDescent="0.45">
      <c r="B13" s="35" t="s">
        <v>414</v>
      </c>
      <c r="C13" s="157">
        <f t="shared" ref="C13:H13" si="3">C10*C12</f>
        <v>2.2218000000000018</v>
      </c>
      <c r="D13" s="157">
        <f t="shared" si="3"/>
        <v>2.6818795818785666</v>
      </c>
      <c r="E13" s="157">
        <f t="shared" si="3"/>
        <v>3.1261786322599283</v>
      </c>
      <c r="F13" s="157">
        <f t="shared" si="3"/>
        <v>4.035537661440296</v>
      </c>
      <c r="G13" s="157">
        <f t="shared" si="3"/>
        <v>4.1580824159396581</v>
      </c>
      <c r="H13" s="157">
        <f t="shared" si="3"/>
        <v>4.1825508789628421</v>
      </c>
    </row>
    <row r="14" spans="2:8" ht="15" customHeight="1" x14ac:dyDescent="0.45">
      <c r="B14" s="26" t="s">
        <v>415</v>
      </c>
      <c r="C14" s="61">
        <f>SUM(D13:H13)</f>
        <v>18.184229170481292</v>
      </c>
      <c r="D14" s="141" t="s">
        <v>137</v>
      </c>
      <c r="E14" s="141" t="s">
        <v>137</v>
      </c>
      <c r="F14" s="141" t="s">
        <v>137</v>
      </c>
      <c r="G14" s="141" t="s">
        <v>137</v>
      </c>
      <c r="H14" s="141" t="s">
        <v>137</v>
      </c>
    </row>
    <row r="15" spans="2:8" ht="15" customHeight="1" x14ac:dyDescent="0.45">
      <c r="B15" s="35" t="s">
        <v>416</v>
      </c>
      <c r="C15" s="144" t="s">
        <v>137</v>
      </c>
      <c r="D15" s="144" t="s">
        <v>137</v>
      </c>
      <c r="E15" s="144" t="s">
        <v>137</v>
      </c>
      <c r="F15" s="144" t="s">
        <v>137</v>
      </c>
      <c r="G15" s="144" t="s">
        <v>137</v>
      </c>
      <c r="H15" s="157">
        <f>H10*(1+Assumptions!$C$20)/(Assumptions!$C$9-Assumptions!$C$20)</f>
        <v>111.3638707706821</v>
      </c>
    </row>
    <row r="16" spans="2:8" ht="15" customHeight="1" x14ac:dyDescent="0.45">
      <c r="B16" s="26" t="s">
        <v>417</v>
      </c>
      <c r="C16" s="61">
        <f>H15*H12</f>
        <v>74.636899305630038</v>
      </c>
      <c r="D16" s="141" t="s">
        <v>137</v>
      </c>
      <c r="E16" s="141" t="s">
        <v>137</v>
      </c>
      <c r="F16" s="141" t="s">
        <v>137</v>
      </c>
      <c r="G16" s="141" t="s">
        <v>137</v>
      </c>
      <c r="H16" s="141" t="s">
        <v>137</v>
      </c>
    </row>
    <row r="17" spans="2:9" ht="15" customHeight="1" x14ac:dyDescent="0.45">
      <c r="B17" s="19" t="s">
        <v>418</v>
      </c>
      <c r="C17" s="106">
        <f>'Live Market Data'!C14</f>
        <v>96.6</v>
      </c>
      <c r="D17" s="144" t="s">
        <v>137</v>
      </c>
      <c r="E17" s="144" t="s">
        <v>137</v>
      </c>
      <c r="F17" s="144" t="s">
        <v>137</v>
      </c>
      <c r="G17" s="144" t="s">
        <v>137</v>
      </c>
      <c r="H17" s="144" t="s">
        <v>137</v>
      </c>
    </row>
    <row r="18" spans="2:9" ht="15" customHeight="1" x14ac:dyDescent="0.45">
      <c r="B18" s="148" t="s">
        <v>419</v>
      </c>
      <c r="C18" s="161">
        <f>C17+C14+C16</f>
        <v>189.42112847611133</v>
      </c>
      <c r="D18" s="149" t="s">
        <v>137</v>
      </c>
      <c r="E18" s="149" t="s">
        <v>137</v>
      </c>
      <c r="F18" s="149" t="s">
        <v>137</v>
      </c>
      <c r="G18" s="149" t="s">
        <v>137</v>
      </c>
      <c r="H18" s="149" t="s">
        <v>137</v>
      </c>
    </row>
    <row r="19" spans="2:9" ht="15" customHeight="1" x14ac:dyDescent="0.45">
      <c r="B19" s="162" t="s">
        <v>420</v>
      </c>
      <c r="C19" s="111">
        <f>C18/'Live Market Data'!C5-1</f>
        <v>1.1245079461205849</v>
      </c>
      <c r="D19" s="145" t="s">
        <v>137</v>
      </c>
      <c r="E19" s="145" t="s">
        <v>137</v>
      </c>
      <c r="F19" s="145" t="s">
        <v>137</v>
      </c>
      <c r="G19" s="145" t="s">
        <v>137</v>
      </c>
      <c r="H19" s="145" t="s">
        <v>137</v>
      </c>
    </row>
    <row r="21" spans="2:9" ht="21.75" customHeight="1" x14ac:dyDescent="0.45">
      <c r="B21" s="212" t="s">
        <v>421</v>
      </c>
      <c r="C21" s="212"/>
      <c r="D21" s="212"/>
      <c r="E21" s="212"/>
      <c r="F21" s="212"/>
      <c r="G21" s="212"/>
      <c r="H21" s="212"/>
    </row>
    <row r="22" spans="2:9" ht="21.75" customHeight="1" x14ac:dyDescent="0.45">
      <c r="B22" s="163"/>
      <c r="C22" s="163" t="s">
        <v>422</v>
      </c>
      <c r="D22" s="163" t="s">
        <v>423</v>
      </c>
      <c r="E22" s="163" t="s">
        <v>424</v>
      </c>
      <c r="F22" s="163" t="s">
        <v>425</v>
      </c>
      <c r="G22" s="163"/>
      <c r="H22" s="163"/>
    </row>
    <row r="23" spans="2:9" ht="15" customHeight="1" x14ac:dyDescent="0.45">
      <c r="B23" s="32" t="s">
        <v>426</v>
      </c>
      <c r="C23" s="164">
        <f>Assumptions!C38</f>
        <v>0.35</v>
      </c>
      <c r="D23" s="164">
        <f>Assumptions!C39</f>
        <v>0.5</v>
      </c>
      <c r="E23" s="164">
        <f>Assumptions!C40</f>
        <v>0.15</v>
      </c>
      <c r="F23" s="64">
        <f>SUM(C23:E23)</f>
        <v>1</v>
      </c>
    </row>
    <row r="24" spans="2:9" ht="15" customHeight="1" x14ac:dyDescent="0.45">
      <c r="B24" s="19" t="s">
        <v>427</v>
      </c>
      <c r="C24" s="165">
        <f>Assumptions!C44</f>
        <v>9.5</v>
      </c>
      <c r="D24" s="165">
        <f>Assumptions!C45</f>
        <v>7.6</v>
      </c>
      <c r="E24" s="165">
        <f>Assumptions!C46</f>
        <v>5</v>
      </c>
      <c r="F24" s="144" t="s">
        <v>137</v>
      </c>
    </row>
    <row r="25" spans="2:9" ht="15" customHeight="1" x14ac:dyDescent="0.45">
      <c r="B25" s="32" t="s">
        <v>428</v>
      </c>
      <c r="C25" s="65">
        <f>Assumptions!C35</f>
        <v>11.74</v>
      </c>
      <c r="D25" s="65">
        <f>Assumptions!C35</f>
        <v>11.74</v>
      </c>
      <c r="E25" s="65">
        <f>Assumptions!C47</f>
        <v>10.5</v>
      </c>
      <c r="F25" s="141" t="s">
        <v>137</v>
      </c>
    </row>
    <row r="26" spans="2:9" ht="15" customHeight="1" x14ac:dyDescent="0.45">
      <c r="B26" s="75" t="s">
        <v>429</v>
      </c>
      <c r="C26" s="166">
        <f>Assumptions!C50</f>
        <v>111.53</v>
      </c>
      <c r="D26" s="166">
        <f>Assumptions!C51</f>
        <v>89.224000000000004</v>
      </c>
      <c r="E26" s="166">
        <f>Assumptions!C52</f>
        <v>52.5</v>
      </c>
      <c r="F26" s="166">
        <f>Assumptions!C53</f>
        <v>91.522500000000008</v>
      </c>
    </row>
    <row r="27" spans="2:9" ht="15" customHeight="1" x14ac:dyDescent="0.45">
      <c r="B27" s="103" t="s">
        <v>420</v>
      </c>
      <c r="C27" s="50">
        <f>C26/'Live Market Data'!$C$5-1</f>
        <v>0.2508972633467923</v>
      </c>
      <c r="D27" s="50">
        <f>D26/'Live Market Data'!$C$5-1</f>
        <v>7.1781067743392768E-4</v>
      </c>
      <c r="E27" s="50">
        <f>E26/'Live Market Data'!$C$5-1</f>
        <v>-0.41117092866756388</v>
      </c>
      <c r="F27" s="50">
        <f>F26/'Live Market Data'!$C$5-1</f>
        <v>2.6497308209959769E-2</v>
      </c>
    </row>
    <row r="29" spans="2:9" ht="21.75" customHeight="1" x14ac:dyDescent="0.45">
      <c r="B29" s="213" t="s">
        <v>430</v>
      </c>
      <c r="C29" s="213"/>
      <c r="D29" s="213"/>
      <c r="E29" s="213"/>
      <c r="F29" s="213"/>
      <c r="G29" s="213"/>
      <c r="H29" s="213"/>
    </row>
    <row r="30" spans="2:9" ht="21.75" customHeight="1" x14ac:dyDescent="0.45">
      <c r="B30" s="167"/>
      <c r="C30" s="167" t="s">
        <v>431</v>
      </c>
      <c r="D30" s="167" t="s">
        <v>432</v>
      </c>
      <c r="E30" s="167" t="s">
        <v>433</v>
      </c>
      <c r="F30" s="167" t="s">
        <v>434</v>
      </c>
      <c r="G30" s="167"/>
      <c r="H30" s="167"/>
      <c r="I30" s="167"/>
    </row>
    <row r="31" spans="2:9" ht="15" customHeight="1" x14ac:dyDescent="0.45">
      <c r="B31" s="19" t="s">
        <v>435</v>
      </c>
      <c r="C31" s="21" t="s">
        <v>436</v>
      </c>
      <c r="D31" s="24">
        <v>18997</v>
      </c>
      <c r="E31" s="31">
        <v>1.8</v>
      </c>
      <c r="F31" s="168">
        <f>D31*E31/1000</f>
        <v>34.194600000000001</v>
      </c>
    </row>
    <row r="32" spans="2:9" ht="15" customHeight="1" x14ac:dyDescent="0.45">
      <c r="B32" s="32" t="s">
        <v>437</v>
      </c>
      <c r="C32" s="34" t="s">
        <v>438</v>
      </c>
      <c r="D32" s="169">
        <v>26717</v>
      </c>
      <c r="E32" s="170">
        <v>1.4</v>
      </c>
      <c r="F32" s="171">
        <f>D32*E32/1000</f>
        <v>37.403799999999997</v>
      </c>
    </row>
    <row r="33" spans="2:8" ht="15" customHeight="1" x14ac:dyDescent="0.45">
      <c r="B33" s="19" t="s">
        <v>439</v>
      </c>
      <c r="C33" s="21" t="s">
        <v>440</v>
      </c>
      <c r="D33" s="24">
        <v>6929</v>
      </c>
      <c r="E33" s="31">
        <v>3</v>
      </c>
      <c r="F33" s="168">
        <f>D33*E33/1000</f>
        <v>20.786999999999999</v>
      </c>
    </row>
    <row r="34" spans="2:8" ht="15" customHeight="1" x14ac:dyDescent="0.45">
      <c r="B34" s="147" t="s">
        <v>441</v>
      </c>
      <c r="C34" s="145" t="s">
        <v>137</v>
      </c>
      <c r="D34" s="172">
        <f>SUM(D31:D33)</f>
        <v>52643</v>
      </c>
      <c r="E34" s="145" t="s">
        <v>137</v>
      </c>
      <c r="F34" s="173">
        <f>SUM(F31:F33)</f>
        <v>92.385400000000004</v>
      </c>
    </row>
    <row r="35" spans="2:8" ht="15" customHeight="1" x14ac:dyDescent="0.45">
      <c r="B35" s="75" t="s">
        <v>442</v>
      </c>
      <c r="C35" s="149" t="s">
        <v>137</v>
      </c>
      <c r="D35" s="149" t="s">
        <v>137</v>
      </c>
      <c r="E35" s="149" t="s">
        <v>137</v>
      </c>
      <c r="F35" s="76">
        <f>F34*1000/'Live Market Data'!C6</f>
        <v>83.986727272727279</v>
      </c>
    </row>
    <row r="37" spans="2:8" ht="21.75" customHeight="1" x14ac:dyDescent="0.45">
      <c r="B37" s="209" t="s">
        <v>443</v>
      </c>
      <c r="C37" s="209"/>
      <c r="D37" s="209"/>
      <c r="E37" s="209"/>
      <c r="F37" s="209"/>
      <c r="G37" s="209"/>
      <c r="H37" s="209"/>
    </row>
    <row r="38" spans="2:8" ht="27.75" customHeight="1" x14ac:dyDescent="0.45">
      <c r="B38" s="83" t="s">
        <v>444</v>
      </c>
      <c r="C38" s="84">
        <f>Assumptions!C68</f>
        <v>105.74106896551723</v>
      </c>
      <c r="D38" s="174" t="s">
        <v>137</v>
      </c>
      <c r="E38" s="174" t="s">
        <v>137</v>
      </c>
      <c r="F38" s="174" t="s">
        <v>137</v>
      </c>
      <c r="G38" s="174" t="s">
        <v>137</v>
      </c>
      <c r="H38" s="174" t="s">
        <v>137</v>
      </c>
    </row>
    <row r="39" spans="2:8" ht="15" customHeight="1" x14ac:dyDescent="0.45">
      <c r="B39" s="110" t="s">
        <v>445</v>
      </c>
      <c r="C39" s="122">
        <f>Assumptions!C69</f>
        <v>0.18596981791742073</v>
      </c>
      <c r="D39" s="145" t="s">
        <v>137</v>
      </c>
      <c r="E39" s="145" t="s">
        <v>137</v>
      </c>
      <c r="F39" s="145" t="s">
        <v>137</v>
      </c>
      <c r="G39" s="145" t="s">
        <v>137</v>
      </c>
      <c r="H39" s="145" t="s">
        <v>137</v>
      </c>
    </row>
    <row r="40" spans="2:8" ht="15" customHeight="1" x14ac:dyDescent="0.45">
      <c r="B40" s="110" t="s">
        <v>446</v>
      </c>
      <c r="C40" s="122">
        <f>Assumptions!C71</f>
        <v>0.24384330378552302</v>
      </c>
      <c r="D40" s="145" t="s">
        <v>137</v>
      </c>
      <c r="E40" s="145" t="s">
        <v>137</v>
      </c>
      <c r="F40" s="145" t="s">
        <v>137</v>
      </c>
      <c r="G40" s="145" t="s">
        <v>137</v>
      </c>
      <c r="H40" s="145" t="s">
        <v>137</v>
      </c>
    </row>
    <row r="42" spans="2:8" ht="199.5" customHeight="1" x14ac:dyDescent="0.45">
      <c r="B42" s="207" t="s">
        <v>447</v>
      </c>
      <c r="C42" s="207"/>
      <c r="D42" s="207"/>
      <c r="E42" s="207"/>
      <c r="F42" s="207"/>
      <c r="G42" s="207"/>
      <c r="H42" s="207"/>
    </row>
  </sheetData>
  <mergeCells count="7">
    <mergeCell ref="B37:H37"/>
    <mergeCell ref="B42:H42"/>
    <mergeCell ref="B1:H1"/>
    <mergeCell ref="B2:H2"/>
    <mergeCell ref="B4:H4"/>
    <mergeCell ref="B21:H21"/>
    <mergeCell ref="B29:H29"/>
  </mergeCells>
  <pageMargins left="0.75" right="0.75" top="1" bottom="1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8E44AD"/>
  </sheetPr>
  <dimension ref="B1:J16"/>
  <sheetViews>
    <sheetView showGridLines="0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ColWidth="8.6640625" defaultRowHeight="14.25" x14ac:dyDescent="0.45"/>
  <cols>
    <col min="1" max="1" width="3" customWidth="1"/>
    <col min="2" max="2" width="24" customWidth="1"/>
    <col min="3" max="3" width="12" customWidth="1"/>
    <col min="4" max="4" width="14" customWidth="1"/>
    <col min="5" max="9" width="12" customWidth="1"/>
    <col min="10" max="10" width="3" customWidth="1"/>
  </cols>
  <sheetData>
    <row r="1" spans="2:10" ht="25.5" customHeight="1" x14ac:dyDescent="0.45">
      <c r="B1" s="1" t="s">
        <v>448</v>
      </c>
      <c r="C1" s="1"/>
      <c r="D1" s="1"/>
      <c r="E1" s="1"/>
      <c r="F1" s="1"/>
      <c r="G1" s="1"/>
      <c r="H1" s="1"/>
      <c r="I1" s="1"/>
    </row>
    <row r="2" spans="2:10" ht="37.5" customHeight="1" x14ac:dyDescent="0.45">
      <c r="B2" s="207" t="s">
        <v>449</v>
      </c>
      <c r="C2" s="207"/>
      <c r="D2" s="207"/>
      <c r="E2" s="207"/>
      <c r="F2" s="207"/>
      <c r="G2" s="207"/>
      <c r="H2" s="207"/>
      <c r="I2" s="207"/>
    </row>
    <row r="4" spans="2:10" ht="24" customHeight="1" x14ac:dyDescent="0.45">
      <c r="B4" s="175" t="s">
        <v>450</v>
      </c>
      <c r="C4" s="175" t="s">
        <v>451</v>
      </c>
      <c r="D4" s="175" t="s">
        <v>452</v>
      </c>
      <c r="E4" s="175" t="s">
        <v>453</v>
      </c>
      <c r="F4" s="175" t="s">
        <v>454</v>
      </c>
      <c r="G4" s="175" t="s">
        <v>15</v>
      </c>
      <c r="H4" s="175" t="s">
        <v>455</v>
      </c>
      <c r="I4" s="175" t="s">
        <v>456</v>
      </c>
      <c r="J4" s="175" t="s">
        <v>37</v>
      </c>
    </row>
    <row r="5" spans="2:10" ht="156" customHeight="1" x14ac:dyDescent="0.45">
      <c r="B5" s="75" t="s">
        <v>457</v>
      </c>
      <c r="C5" s="166">
        <f>'Live Market Data'!C5</f>
        <v>89.16</v>
      </c>
      <c r="D5" s="176">
        <f>'Live Market Data'!C7/1000</f>
        <v>98.075999999999993</v>
      </c>
      <c r="E5" s="177">
        <f>'Live Market Data'!C10</f>
        <v>8.41</v>
      </c>
      <c r="F5" s="177">
        <f>'Live Market Data'!C12</f>
        <v>7.6</v>
      </c>
      <c r="G5" s="177">
        <f>'Live Market Data'!C18</f>
        <v>0.92298136645962736</v>
      </c>
      <c r="H5" s="178">
        <f>'Live Market Data'!C24</f>
        <v>0.128</v>
      </c>
      <c r="I5" s="179">
        <f>'Live Market Data'!C15</f>
        <v>5.7873485868102294E-2</v>
      </c>
      <c r="J5" s="180" t="s">
        <v>458</v>
      </c>
    </row>
    <row r="6" spans="2:10" ht="214.5" customHeight="1" x14ac:dyDescent="0.45">
      <c r="B6" s="32" t="s">
        <v>459</v>
      </c>
      <c r="C6" s="181">
        <v>66.510000000000005</v>
      </c>
      <c r="D6" s="182">
        <v>48.7</v>
      </c>
      <c r="E6" s="170">
        <v>9.6</v>
      </c>
      <c r="F6" s="170">
        <v>8.5</v>
      </c>
      <c r="G6" s="170">
        <v>0.85</v>
      </c>
      <c r="H6" s="183">
        <v>0.11700000000000001</v>
      </c>
      <c r="I6" s="184">
        <v>3.7999999999999999E-2</v>
      </c>
      <c r="J6" s="121" t="s">
        <v>460</v>
      </c>
    </row>
    <row r="7" spans="2:10" ht="185.25" customHeight="1" x14ac:dyDescent="0.45">
      <c r="B7" s="19" t="s">
        <v>461</v>
      </c>
      <c r="C7" s="20">
        <v>72.63</v>
      </c>
      <c r="D7" s="185">
        <v>110</v>
      </c>
      <c r="E7" s="31">
        <v>9.75</v>
      </c>
      <c r="F7" s="31">
        <v>8.5</v>
      </c>
      <c r="G7" s="31">
        <v>1.4</v>
      </c>
      <c r="H7" s="58">
        <v>0.25800000000000001</v>
      </c>
      <c r="I7" s="52">
        <v>3.5000000000000003E-2</v>
      </c>
      <c r="J7" s="115" t="s">
        <v>462</v>
      </c>
    </row>
    <row r="8" spans="2:10" ht="165.75" customHeight="1" x14ac:dyDescent="0.45">
      <c r="B8" s="32" t="s">
        <v>463</v>
      </c>
      <c r="C8" s="181">
        <v>16</v>
      </c>
      <c r="D8" s="182">
        <v>55</v>
      </c>
      <c r="E8" s="170">
        <v>8.5</v>
      </c>
      <c r="F8" s="170">
        <v>7.5</v>
      </c>
      <c r="G8" s="170">
        <v>1.1000000000000001</v>
      </c>
      <c r="H8" s="183">
        <v>0.13600000000000001</v>
      </c>
      <c r="I8" s="184">
        <v>3.9E-2</v>
      </c>
      <c r="J8" s="121" t="s">
        <v>464</v>
      </c>
    </row>
    <row r="9" spans="2:10" ht="165.75" customHeight="1" x14ac:dyDescent="0.45">
      <c r="B9" s="19" t="s">
        <v>465</v>
      </c>
      <c r="C9" s="20">
        <v>2.9</v>
      </c>
      <c r="D9" s="185">
        <v>40</v>
      </c>
      <c r="E9" s="31">
        <v>12</v>
      </c>
      <c r="F9" s="31">
        <v>10</v>
      </c>
      <c r="G9" s="31">
        <v>0.75</v>
      </c>
      <c r="H9" s="58">
        <v>0.12</v>
      </c>
      <c r="I9" s="52">
        <v>2.5000000000000001E-2</v>
      </c>
      <c r="J9" s="115" t="s">
        <v>466</v>
      </c>
    </row>
    <row r="10" spans="2:10" ht="185.25" customHeight="1" x14ac:dyDescent="0.45">
      <c r="B10" s="32" t="s">
        <v>467</v>
      </c>
      <c r="C10" s="181">
        <v>5.5</v>
      </c>
      <c r="D10" s="182">
        <v>90</v>
      </c>
      <c r="E10" s="170">
        <v>8.5</v>
      </c>
      <c r="F10" s="170">
        <v>7.5</v>
      </c>
      <c r="G10" s="170">
        <v>1</v>
      </c>
      <c r="H10" s="183">
        <v>0.16</v>
      </c>
      <c r="I10" s="184">
        <v>3.5999999999999997E-2</v>
      </c>
      <c r="J10" s="121" t="s">
        <v>468</v>
      </c>
    </row>
    <row r="12" spans="2:10" ht="21.75" customHeight="1" x14ac:dyDescent="0.45">
      <c r="B12" s="208" t="s">
        <v>469</v>
      </c>
      <c r="C12" s="208"/>
      <c r="D12" s="208"/>
      <c r="E12" s="208"/>
      <c r="F12" s="208"/>
      <c r="G12" s="208"/>
      <c r="H12" s="208"/>
      <c r="I12" s="208"/>
      <c r="J12" s="208"/>
    </row>
    <row r="13" spans="2:10" ht="117.75" customHeight="1" x14ac:dyDescent="0.45">
      <c r="B13" s="38" t="s">
        <v>470</v>
      </c>
      <c r="C13" s="145" t="s">
        <v>137</v>
      </c>
      <c r="D13" s="145" t="s">
        <v>137</v>
      </c>
      <c r="E13" s="186">
        <f>MEDIAN(E6:E10)</f>
        <v>9.6</v>
      </c>
      <c r="F13" s="186">
        <f>MEDIAN(F6:F10)</f>
        <v>8.5</v>
      </c>
      <c r="G13" s="186">
        <f>MEDIAN(G6:G10)</f>
        <v>1</v>
      </c>
      <c r="H13" s="111">
        <f>MEDIAN(H6:H10)</f>
        <v>0.13600000000000001</v>
      </c>
      <c r="I13" s="151">
        <f>MEDIAN(I6:I10)</f>
        <v>3.5999999999999997E-2</v>
      </c>
      <c r="J13" s="133" t="s">
        <v>471</v>
      </c>
    </row>
    <row r="14" spans="2:10" ht="185.25" customHeight="1" x14ac:dyDescent="0.45">
      <c r="B14" s="75" t="s">
        <v>472</v>
      </c>
      <c r="C14" s="149" t="s">
        <v>137</v>
      </c>
      <c r="D14" s="149" t="s">
        <v>137</v>
      </c>
      <c r="E14" s="150">
        <f>E5/E13-1</f>
        <v>-0.12395833333333328</v>
      </c>
      <c r="F14" s="150">
        <f>F5/F13-1</f>
        <v>-0.10588235294117654</v>
      </c>
      <c r="G14" s="150">
        <f>G5/G13-1</f>
        <v>-7.7018633540372639E-2</v>
      </c>
      <c r="H14" s="149" t="s">
        <v>137</v>
      </c>
      <c r="I14" s="149" t="s">
        <v>137</v>
      </c>
      <c r="J14" s="180" t="s">
        <v>473</v>
      </c>
    </row>
    <row r="16" spans="2:10" ht="79.5" customHeight="1" x14ac:dyDescent="0.45">
      <c r="B16" s="207" t="s">
        <v>474</v>
      </c>
      <c r="C16" s="207"/>
      <c r="D16" s="207"/>
      <c r="E16" s="207"/>
      <c r="F16" s="207"/>
      <c r="G16" s="207"/>
      <c r="H16" s="207"/>
      <c r="I16" s="207"/>
      <c r="J16" s="207"/>
    </row>
  </sheetData>
  <mergeCells count="4">
    <mergeCell ref="B1:I1"/>
    <mergeCell ref="B2:I2"/>
    <mergeCell ref="B12:J12"/>
    <mergeCell ref="B16:J16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Cover</vt:lpstr>
      <vt:lpstr>Live Market Data</vt:lpstr>
      <vt:lpstr>Assumptions</vt:lpstr>
      <vt:lpstr>Historical Financials</vt:lpstr>
      <vt:lpstr>Q1 2026 Deep Dive</vt:lpstr>
      <vt:lpstr>AXA IM Acquisition</vt:lpstr>
      <vt:lpstr>Capital Returns</vt:lpstr>
      <vt:lpstr>Valuation</vt:lpstr>
      <vt:lpstr>Peer Comparison</vt:lpstr>
      <vt:lpstr>Risk Matrix</vt:lpstr>
      <vt:lpstr>Investment Verdict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romanos valeontis</cp:lastModifiedBy>
  <cp:revision>0</cp:revision>
  <dcterms:created xsi:type="dcterms:W3CDTF">2026-05-23T02:43:00Z</dcterms:created>
  <dcterms:modified xsi:type="dcterms:W3CDTF">2026-05-23T02:57:40Z</dcterms:modified>
  <dc:language>en-US</dc:language>
</cp:coreProperties>
</file>