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roman\Desktop\Romanos-Site\Projects\Intertek\"/>
    </mc:Choice>
  </mc:AlternateContent>
  <xr:revisionPtr revIDLastSave="0" documentId="13_ncr:1_{2945865C-8CA8-4167-B4AD-99575D858C3C}" xr6:coauthVersionLast="47" xr6:coauthVersionMax="47" xr10:uidLastSave="{00000000-0000-0000-0000-000000000000}"/>
  <bookViews>
    <workbookView xWindow="-98" yWindow="-98" windowWidth="28996" windowHeight="15675" tabRatio="500" xr2:uid="{00000000-000D-0000-FFFF-FFFF00000000}"/>
  </bookViews>
  <sheets>
    <sheet name="Cover" sheetId="1" r:id="rId1"/>
    <sheet name="Assumptions" sheetId="2" r:id="rId2"/>
    <sheet name="Historical Financials" sheetId="3" r:id="rId3"/>
    <sheet name="DCF Model" sheetId="4" r:id="rId4"/>
    <sheet name="Comparable Companies" sheetId="5" r:id="rId5"/>
    <sheet name="LBO Model" sheetId="6" r:id="rId6"/>
    <sheet name="Sum of Parts" sheetId="7" r:id="rId7"/>
    <sheet name="Investment Thesis" sheetId="8" r:id="rId8"/>
    <sheet name="DD Flags" sheetId="9" r:id="rId9"/>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33" i="6" l="1"/>
  <c r="D32" i="6"/>
  <c r="C32" i="6"/>
  <c r="C31" i="6"/>
  <c r="D30" i="6"/>
  <c r="C30" i="6"/>
  <c r="C34" i="6" s="1"/>
  <c r="D28" i="6"/>
  <c r="E28" i="6" s="1"/>
  <c r="C23" i="6"/>
  <c r="C22" i="6"/>
  <c r="C9" i="6"/>
  <c r="C14" i="6" s="1"/>
  <c r="H30" i="4"/>
  <c r="G30" i="4"/>
  <c r="F30" i="4"/>
  <c r="E30" i="4"/>
  <c r="D30" i="4"/>
  <c r="C23" i="4"/>
  <c r="D22" i="4"/>
  <c r="C22" i="4"/>
  <c r="C13" i="4"/>
  <c r="C21" i="4" s="1"/>
  <c r="D12" i="4"/>
  <c r="D18" i="4" s="1"/>
  <c r="C12" i="4"/>
  <c r="C14" i="4" s="1"/>
  <c r="C15" i="4" s="1"/>
  <c r="D7" i="4"/>
  <c r="E7" i="4" s="1"/>
  <c r="F52" i="3"/>
  <c r="F41" i="3"/>
  <c r="E41" i="3"/>
  <c r="D41" i="3"/>
  <c r="C41" i="3"/>
  <c r="F39" i="3"/>
  <c r="E39" i="3"/>
  <c r="D39" i="3"/>
  <c r="C33" i="3"/>
  <c r="F32" i="3"/>
  <c r="F33" i="3" s="1"/>
  <c r="E32" i="3"/>
  <c r="E33" i="3" s="1"/>
  <c r="D32" i="3"/>
  <c r="D33" i="3" s="1"/>
  <c r="C32" i="3"/>
  <c r="F25" i="3"/>
  <c r="E25" i="3"/>
  <c r="F24" i="3"/>
  <c r="E24" i="3"/>
  <c r="D24" i="3"/>
  <c r="D25" i="3" s="1"/>
  <c r="C24" i="3"/>
  <c r="C25" i="3" s="1"/>
  <c r="F22" i="3"/>
  <c r="E22" i="3"/>
  <c r="D22" i="3"/>
  <c r="F18" i="3"/>
  <c r="E18" i="3"/>
  <c r="D18" i="3"/>
  <c r="F14" i="3"/>
  <c r="F16" i="3" s="1"/>
  <c r="F43" i="3" s="1"/>
  <c r="E14" i="3"/>
  <c r="E16" i="3" s="1"/>
  <c r="E43" i="3" s="1"/>
  <c r="D14" i="3"/>
  <c r="D16" i="3" s="1"/>
  <c r="D43" i="3" s="1"/>
  <c r="C14" i="3"/>
  <c r="C16" i="3" s="1"/>
  <c r="C43" i="3" s="1"/>
  <c r="F12" i="3"/>
  <c r="E12" i="3"/>
  <c r="D12" i="3"/>
  <c r="F11" i="3"/>
  <c r="E11" i="3"/>
  <c r="D11" i="3"/>
  <c r="C11" i="3"/>
  <c r="C12" i="3" s="1"/>
  <c r="F9" i="3"/>
  <c r="E9" i="3"/>
  <c r="D9" i="3"/>
  <c r="C9" i="3"/>
  <c r="F7" i="3"/>
  <c r="E7" i="3"/>
  <c r="D7" i="3"/>
  <c r="E23" i="4" l="1"/>
  <c r="E13" i="4"/>
  <c r="E21" i="4" s="1"/>
  <c r="E12" i="4"/>
  <c r="F7" i="4"/>
  <c r="E22" i="4"/>
  <c r="D19" i="4"/>
  <c r="D20" i="4"/>
  <c r="F28" i="6"/>
  <c r="E33" i="6"/>
  <c r="E31" i="6"/>
  <c r="E32" i="6"/>
  <c r="E30" i="6"/>
  <c r="C22" i="3"/>
  <c r="C18" i="4"/>
  <c r="C11" i="6"/>
  <c r="D31" i="6"/>
  <c r="D34" i="6" s="1"/>
  <c r="D33" i="6"/>
  <c r="D13" i="4"/>
  <c r="D21" i="4" s="1"/>
  <c r="D23" i="4"/>
  <c r="G28" i="6" l="1"/>
  <c r="F33" i="6"/>
  <c r="F31" i="6"/>
  <c r="F32" i="6"/>
  <c r="F30" i="6"/>
  <c r="F34" i="6" s="1"/>
  <c r="C18" i="6"/>
  <c r="C41" i="6" s="1"/>
  <c r="C17" i="6"/>
  <c r="C13" i="6"/>
  <c r="C24" i="6"/>
  <c r="C25" i="6" s="1"/>
  <c r="C20" i="6"/>
  <c r="C59" i="6" s="1"/>
  <c r="D14" i="4"/>
  <c r="D15" i="4" s="1"/>
  <c r="F22" i="4"/>
  <c r="F12" i="4"/>
  <c r="G7" i="4"/>
  <c r="F23" i="4"/>
  <c r="F13" i="4"/>
  <c r="F21" i="4" s="1"/>
  <c r="D24" i="4"/>
  <c r="C19" i="4"/>
  <c r="C20" i="4"/>
  <c r="C24" i="4" s="1"/>
  <c r="C25" i="4" s="1"/>
  <c r="E18" i="4"/>
  <c r="E14" i="4"/>
  <c r="E15" i="4" s="1"/>
  <c r="E34" i="6"/>
  <c r="E19" i="4" l="1"/>
  <c r="E20" i="4"/>
  <c r="E24" i="4" s="1"/>
  <c r="C42" i="6"/>
  <c r="C43" i="6"/>
  <c r="D41" i="6" s="1"/>
  <c r="G22" i="4"/>
  <c r="G12" i="4"/>
  <c r="H7" i="4"/>
  <c r="G23" i="4"/>
  <c r="G13" i="4"/>
  <c r="G21" i="4" s="1"/>
  <c r="C37" i="6"/>
  <c r="C19" i="6"/>
  <c r="C21" i="6" s="1"/>
  <c r="D25" i="4"/>
  <c r="D31" i="4"/>
  <c r="F18" i="4"/>
  <c r="F14" i="4"/>
  <c r="F15" i="4" s="1"/>
  <c r="H28" i="6"/>
  <c r="G33" i="6"/>
  <c r="G31" i="6"/>
  <c r="G32" i="6"/>
  <c r="G30" i="6"/>
  <c r="G34" i="6" s="1"/>
  <c r="H22" i="4" l="1"/>
  <c r="H12" i="4"/>
  <c r="H23" i="4"/>
  <c r="H13" i="4"/>
  <c r="H21" i="4" s="1"/>
  <c r="G18" i="4"/>
  <c r="G14" i="4"/>
  <c r="G15" i="4" s="1"/>
  <c r="H33" i="6"/>
  <c r="H31" i="6"/>
  <c r="H32" i="6"/>
  <c r="H30" i="6"/>
  <c r="F19" i="4"/>
  <c r="F20" i="4" s="1"/>
  <c r="F24" i="4" s="1"/>
  <c r="E25" i="4"/>
  <c r="E31" i="4"/>
  <c r="C39" i="6"/>
  <c r="D37" i="6" s="1"/>
  <c r="C38" i="6"/>
  <c r="C45" i="6" s="1"/>
  <c r="C40" i="6"/>
  <c r="C44" i="6" s="1"/>
  <c r="C46" i="6" s="1"/>
  <c r="D43" i="6"/>
  <c r="E41" i="6" s="1"/>
  <c r="D42" i="6"/>
  <c r="F31" i="4" l="1"/>
  <c r="F25" i="4"/>
  <c r="H49" i="6"/>
  <c r="H34" i="6"/>
  <c r="G19" i="4"/>
  <c r="G20" i="4" s="1"/>
  <c r="G24" i="4" s="1"/>
  <c r="E43" i="6"/>
  <c r="F41" i="6" s="1"/>
  <c r="E42" i="6"/>
  <c r="D39" i="6"/>
  <c r="E37" i="6" s="1"/>
  <c r="D38" i="6"/>
  <c r="D45" i="6" s="1"/>
  <c r="H18" i="4"/>
  <c r="H14" i="4"/>
  <c r="G31" i="4" l="1"/>
  <c r="G25" i="4"/>
  <c r="E39" i="6"/>
  <c r="F37" i="6" s="1"/>
  <c r="E40" i="6"/>
  <c r="E44" i="6" s="1"/>
  <c r="E46" i="6" s="1"/>
  <c r="E38" i="6"/>
  <c r="E45" i="6" s="1"/>
  <c r="H52" i="6"/>
  <c r="H51" i="6"/>
  <c r="H50" i="6"/>
  <c r="H19" i="4"/>
  <c r="H20" i="4" s="1"/>
  <c r="H24" i="4" s="1"/>
  <c r="D40" i="6"/>
  <c r="D44" i="6" s="1"/>
  <c r="D46" i="6" s="1"/>
  <c r="F43" i="6"/>
  <c r="G41" i="6" s="1"/>
  <c r="F42" i="6"/>
  <c r="H40" i="4"/>
  <c r="H41" i="4" s="1"/>
  <c r="H15" i="4"/>
  <c r="H31" i="4" l="1"/>
  <c r="D32" i="4" s="1"/>
  <c r="H37" i="4"/>
  <c r="H38" i="4" s="1"/>
  <c r="C45" i="4" s="1"/>
  <c r="H36" i="4"/>
  <c r="H25" i="4"/>
  <c r="G43" i="6"/>
  <c r="H41" i="6" s="1"/>
  <c r="G42" i="6"/>
  <c r="F39" i="6"/>
  <c r="G37" i="6" s="1"/>
  <c r="F40" i="6"/>
  <c r="F44" i="6" s="1"/>
  <c r="F46" i="6" s="1"/>
  <c r="F38" i="6"/>
  <c r="F45" i="6" s="1"/>
  <c r="G39" i="6" l="1"/>
  <c r="H37" i="6" s="1"/>
  <c r="G38" i="6"/>
  <c r="G45" i="6" s="1"/>
  <c r="H43" i="6"/>
  <c r="H42" i="6"/>
  <c r="C47" i="4"/>
  <c r="C53" i="4" s="1"/>
  <c r="C56" i="4" s="1"/>
  <c r="C59" i="4" s="1"/>
  <c r="C44" i="4"/>
  <c r="C46" i="4" s="1"/>
  <c r="C52" i="4" s="1"/>
  <c r="C55" i="4" s="1"/>
  <c r="C58" i="4" s="1"/>
  <c r="G40" i="6" l="1"/>
  <c r="G44" i="6" s="1"/>
  <c r="G46" i="6" s="1"/>
  <c r="C48" i="4"/>
  <c r="H39" i="6"/>
  <c r="H40" i="6"/>
  <c r="H44" i="6" s="1"/>
  <c r="H38" i="6"/>
  <c r="H45" i="6" s="1"/>
  <c r="H53" i="6" l="1"/>
  <c r="H46" i="6"/>
  <c r="H55" i="6" l="1"/>
  <c r="H65" i="6" s="1"/>
  <c r="H56" i="6"/>
  <c r="H69" i="6" s="1"/>
  <c r="H54" i="6"/>
  <c r="H61" i="6" s="1"/>
  <c r="H63" i="6" l="1"/>
  <c r="H62" i="6"/>
  <c r="H71" i="6"/>
  <c r="H70" i="6"/>
  <c r="H67" i="6"/>
  <c r="H66" i="6"/>
</calcChain>
</file>

<file path=xl/sharedStrings.xml><?xml version="1.0" encoding="utf-8"?>
<sst xmlns="http://schemas.openxmlformats.org/spreadsheetml/2006/main" count="910" uniqueCount="744">
  <si>
    <t>INTERTEK GROUP PLC  (LSE: ITRK)</t>
  </si>
  <si>
    <t>Private Equity Take-Private Analysis</t>
  </si>
  <si>
    <t>A Quality Compounder at a Structural Discount — and Why EQT Moved First</t>
  </si>
  <si>
    <t>Analyst</t>
  </si>
  <si>
    <t>Romanos Valeontis</t>
  </si>
  <si>
    <t>Date</t>
  </si>
  <si>
    <t>May 2026</t>
  </si>
  <si>
    <t>Version</t>
  </si>
  <si>
    <t>v1.0</t>
  </si>
  <si>
    <t>Classification</t>
  </si>
  <si>
    <t>CONFIDENTIAL</t>
  </si>
  <si>
    <t>Target</t>
  </si>
  <si>
    <t>Intertek Group PLC</t>
  </si>
  <si>
    <t>Ticker</t>
  </si>
  <si>
    <t>ITRK.L  |  LSE</t>
  </si>
  <si>
    <t>Acquirer (Live Deal)</t>
  </si>
  <si>
    <t>EQT Fund Management Sàrl</t>
  </si>
  <si>
    <t>Offer Price</t>
  </si>
  <si>
    <t>£60.00 per share (cash)</t>
  </si>
  <si>
    <t>Total Consideration</t>
  </si>
  <si>
    <t>£9.4bn (incl. £1.077 dividend)</t>
  </si>
  <si>
    <t>SITUATION SUMMARY</t>
  </si>
  <si>
    <t>Part 1 — Pre-Deal Thesis:</t>
  </si>
  <si>
    <t>As of Q1 2026, Intertek traded at ~11–12x EV/EBITDA vs. a sector LTA of 14.2x, despite three consecutive years of double-digit EPS growth at constant rates and 110% cash conversion. A high-quality compounder materially mispriced by public markets.</t>
  </si>
  <si>
    <t>Part 2 — Live Deal Verdict:</t>
  </si>
  <si>
    <t>EQT's £60/share offer (£9.4bn EV incl. dividend) implies a ~12.2x entry EV/EBITDA. Our DCF and Sum-of-Parts analysis suggests fair value of £58–£68/share. EQT's offer is at the low end of fair value — opportunistic, not generous.</t>
  </si>
  <si>
    <t>Bottom Line:</t>
  </si>
  <si>
    <t>EQT is acquiring a £620m operating-profit machine at a discount to intrinsic value. The real thesis: separate Consumer Products (48% of profit) from World of Energy, re-rate the core business at 14–15x, and exit at 2.5–3.0x MOIC in 5 years.</t>
  </si>
  <si>
    <t>DISCLAIMER: This model is produced for portfolio/educational purposes by Romanos Valeontis. All financial data sourced from public filings, company announcements and market data as of May 2026. Not investment advice. Assumptions are explicitly flagged in the Assumptions sheet.</t>
  </si>
  <si>
    <t>ASSUMPTIONS &amp; SOURCES  |  Intertek Group PLC</t>
  </si>
  <si>
    <t>Assumption</t>
  </si>
  <si>
    <t>Base Case Value</t>
  </si>
  <si>
    <t>Scenario Range</t>
  </si>
  <si>
    <t>Source / Rationale</t>
  </si>
  <si>
    <t>Confidence</t>
  </si>
  <si>
    <t>REVENUE ASSUMPTIONS</t>
  </si>
  <si>
    <t>FY2025 Revenue (£m) — Actual</t>
  </si>
  <si>
    <t>3,432</t>
  </si>
  <si>
    <t>N/A — Actual</t>
  </si>
  <si>
    <t>Intertek FY2025 Results Announcement, 3 Mar 2026</t>
  </si>
  <si>
    <t>HIGH</t>
  </si>
  <si>
    <t>FY2024 Revenue (£m) — Actual</t>
  </si>
  <si>
    <t>3,291</t>
  </si>
  <si>
    <t>Intertek FY2024 Annual Report</t>
  </si>
  <si>
    <t>FY2023 Revenue (£m) — Actual</t>
  </si>
  <si>
    <t>3,329</t>
  </si>
  <si>
    <t>Intertek FY2023 Annual Report</t>
  </si>
  <si>
    <t>FY2022 Revenue (£m) — Actual</t>
  </si>
  <si>
    <t>3,187</t>
  </si>
  <si>
    <t>Intertek FY2022 Annual Report / TipRanks</t>
  </si>
  <si>
    <t>FY2026E LFL Revenue Growth (constant FX)</t>
  </si>
  <si>
    <t>5.0%</t>
  </si>
  <si>
    <t>4.0% – 6.5%</t>
  </si>
  <si>
    <t>Company guidance: 'mid-single digit LFL'; FY2026 guidance statement</t>
  </si>
  <si>
    <t>FY2027E–FY2030E LFL Revenue Growth</t>
  </si>
  <si>
    <t>4.0% – 6.0%</t>
  </si>
  <si>
    <t>AAA strategy medium-term target; TIC sector structural growth rate</t>
  </si>
  <si>
    <t>MEDIUM</t>
  </si>
  <si>
    <t>FX headwind assumption (GBP strength)</t>
  </si>
  <si>
    <t>(1.5%)</t>
  </si>
  <si>
    <t>(0.5%) – (3.0%)</t>
  </si>
  <si>
    <t>FY2025 actual FX drag: -320bps; assuming normalisation to -150bps</t>
  </si>
  <si>
    <t>Bolt-on M&amp;A revenue contribution p.a.</t>
  </si>
  <si>
    <t>1.0%</t>
  </si>
  <si>
    <t>0.5% – 2.0%</t>
  </si>
  <si>
    <t>FY2025 M&amp;A contribution included in 4.3% CC growth; £300m+ deployed 2025</t>
  </si>
  <si>
    <t>MARGIN ASSUMPTIONS</t>
  </si>
  <si>
    <t>FY2025 Adj. Operating Margin — Actual</t>
  </si>
  <si>
    <t>18.1%</t>
  </si>
  <si>
    <t>FY2025 Results: Adj. Op. Profit £620m / Revenue £3,432m</t>
  </si>
  <si>
    <t>FY2024 Adj. Operating Margin — Actual</t>
  </si>
  <si>
    <t>17.2%</t>
  </si>
  <si>
    <t>Intertek FY2024 Annual Report (estimated from disclosed profit)</t>
  </si>
  <si>
    <t>FY2023 Adj. Operating Margin — Actual</t>
  </si>
  <si>
    <t>17.0%</t>
  </si>
  <si>
    <t>Medium-term margin target (company stated)</t>
  </si>
  <si>
    <t>18.5%</t>
  </si>
  <si>
    <t>18.5% – 19.5%</t>
  </si>
  <si>
    <t>Intertek AAA strategy medium-term target, Capital Markets Event 2023</t>
  </si>
  <si>
    <t>FY2026E–FY2028E Margin Expansion p.a.</t>
  </si>
  <si>
    <t>+25bps</t>
  </si>
  <si>
    <t>+20bps – +40bps</t>
  </si>
  <si>
    <t>Extrapolating 3yr trend of +30bps/yr; mix shift to Consumer Products</t>
  </si>
  <si>
    <t>Terminal Year (FY2030E) Operating Margin</t>
  </si>
  <si>
    <t>19.5%</t>
  </si>
  <si>
    <t>18.5% – 20.5%</t>
  </si>
  <si>
    <t>Post-EQT operational leverage + Consumer Products mix shift assumption</t>
  </si>
  <si>
    <t>CASH FLOW ASSUMPTIONS</t>
  </si>
  <si>
    <t>FY2025 Cash Conversion — Actual</t>
  </si>
  <si>
    <t>110%</t>
  </si>
  <si>
    <t>FY2025 Results: Adj. op. cash flow £762m vs adj. op. profit £620m + D&amp;A</t>
  </si>
  <si>
    <t>Normalised Cash Conversion (FCF/EBITDA)</t>
  </si>
  <si>
    <t>88%</t>
  </si>
  <si>
    <t>82% – 95%</t>
  </si>
  <si>
    <t>Industry standard; Intertek 3-year avg ~88%; FY2025 elevated on WC release</t>
  </si>
  <si>
    <t>CapEx as % of Revenue</t>
  </si>
  <si>
    <t>4.5%</t>
  </si>
  <si>
    <t>4.0% – 5.0%</t>
  </si>
  <si>
    <t>Company guidance 4–5% of revenue; FY2025 guidance £135–145m on ~£3.3bn</t>
  </si>
  <si>
    <t>D&amp;A as % of Revenue (est.)</t>
  </si>
  <si>
    <t>4.2%</t>
  </si>
  <si>
    <t>3.8% – 4.6%</t>
  </si>
  <si>
    <t>Estimated from EBITDA – EBIT gap; ~£144m on £3.4bn revenue FY2025</t>
  </si>
  <si>
    <t>Change in Working Capital as % Revenue</t>
  </si>
  <si>
    <t>(0.5%)</t>
  </si>
  <si>
    <t>(0.3%) – (1.0%)</t>
  </si>
  <si>
    <t>FY2025 WC was a headwind vs FY2024; normalise to modest outflow</t>
  </si>
  <si>
    <t>LOW</t>
  </si>
  <si>
    <t>WACC / DISCOUNT RATE</t>
  </si>
  <si>
    <t>Risk-Free Rate (UK 10Y Gilt yield)</t>
  </si>
  <si>
    <t>UK 10Y Gilt yield ~4.4–4.6%; May 2026 market data</t>
  </si>
  <si>
    <t>Equity Risk Premium</t>
  </si>
  <si>
    <t>5.5%</t>
  </si>
  <si>
    <t>5.0% – 6.0%</t>
  </si>
  <si>
    <t>Damodaran Jan 2026 UK ERP estimate: 5.5%</t>
  </si>
  <si>
    <t>Intertek Beta (5Y monthly vs FTSE)</t>
  </si>
  <si>
    <t>0.75</t>
  </si>
  <si>
    <t>0.65 – 0.85</t>
  </si>
  <si>
    <t>Defensive TIC business; below-market beta; historical 5yr avg ~0.7–0.8</t>
  </si>
  <si>
    <t>Cost of Equity (CAPM)</t>
  </si>
  <si>
    <t>8.6%</t>
  </si>
  <si>
    <t>7.8% – 9.5%</t>
  </si>
  <si>
    <t>CAPM formula: Rf + Beta x ERP = 4.5% + 0.75 x 5.5%</t>
  </si>
  <si>
    <t>Pre-tax Cost of Debt</t>
  </si>
  <si>
    <t>5.2%</t>
  </si>
  <si>
    <t>4.8% – 5.8%</t>
  </si>
  <si>
    <t>Intertek credit quality; BBB+/A- equivalent; current investment grade spreads</t>
  </si>
  <si>
    <t>Tax Rate</t>
  </si>
  <si>
    <t>23.5%</t>
  </si>
  <si>
    <t>23.0% – 25.0%</t>
  </si>
  <si>
    <t>UK corp tax rate 25%; blended global rate given non-UK earnings</t>
  </si>
  <si>
    <t>After-tax Cost of Debt</t>
  </si>
  <si>
    <t>3.98%</t>
  </si>
  <si>
    <t>3.6% – 4.4%</t>
  </si>
  <si>
    <t>Pre-tax Kd x (1 minus Tax Rate)</t>
  </si>
  <si>
    <t>Target Capital Structure — Equity %</t>
  </si>
  <si>
    <t>75%</t>
  </si>
  <si>
    <t>70% – 80%</t>
  </si>
  <si>
    <t>Intertek pre-deal: market cap ~£7.2bn vs EV ~£9.1bn (net debt £0.85bn)</t>
  </si>
  <si>
    <t>Target Capital Structure — Debt %</t>
  </si>
  <si>
    <t>25%</t>
  </si>
  <si>
    <t>20% – 30%</t>
  </si>
  <si>
    <t>Complement to equity weight; consistent with 1.3x ND/EBITDA leverage</t>
  </si>
  <si>
    <t>WACC (Base Case)</t>
  </si>
  <si>
    <t>7.4%</t>
  </si>
  <si>
    <t>6.8% – 8.2%</t>
  </si>
  <si>
    <t>75% x 8.6% + 25% x 3.98%; rounded; see DCF sheet for formula</t>
  </si>
  <si>
    <t>WACC — EXPLICIT BUILD  (Base Case)  |  All inputs traceable to Assumptions above</t>
  </si>
  <si>
    <t>STEP 1  —  COST OF EQUITY via CAPM:  Ke = Rf + Beta x ERP</t>
  </si>
  <si>
    <t>Risk-Free Rate (Rf)</t>
  </si>
  <si>
    <t>4.50%</t>
  </si>
  <si>
    <t>UK 10-Year Gilt yield, May 2026. Range: 4.4–4.6%; rounded to 4.50%.</t>
  </si>
  <si>
    <t>Bank of England / Bloomberg, May 2026.</t>
  </si>
  <si>
    <t>Equity Risk Premium (ERP)</t>
  </si>
  <si>
    <t>5.50%</t>
  </si>
  <si>
    <t>Damodaran Jan 2026 UK Equity Risk Premium: 5.5%.</t>
  </si>
  <si>
    <t>Damodaran.com country risk premium update, Jan 2026.</t>
  </si>
  <si>
    <t>Levered Beta (Beta)</t>
  </si>
  <si>
    <t>5-year monthly regression vs FTSE All-Share. TIC sector avg 0.70–0.80. Defensive, non-cyclical services business; below-market beta justified.</t>
  </si>
  <si>
    <t>Bloomberg 5-year beta; TIC sector benchmarks.</t>
  </si>
  <si>
    <t>Cost of Equity  [Ke = Rf + Beta x ERP]</t>
  </si>
  <si>
    <t>STEP 2  —  COST OF DEBT:  Kd(after-tax) = Kd(pre-tax) x (1 - Tax Rate)</t>
  </si>
  <si>
    <t>Pre-tax Cost of Debt (Kd)</t>
  </si>
  <si>
    <t>5.20%</t>
  </si>
  <si>
    <t>Intertek BBB+/A- equivalent; IG corporate spread ~75bps over UK gilt (~4.5%). 5yr senior secured market pricing, May 2026.</t>
  </si>
  <si>
    <t>Bloomberg IG corporate spreads, May 2026.</t>
  </si>
  <si>
    <t>Tax Rate (blended global)</t>
  </si>
  <si>
    <t>23.50%</t>
  </si>
  <si>
    <t>UK statutory rate 25% (from Apr 2023); blended lower due to non-UK earnings in lower-tax jurisdictions. Per FY2025 effective rate.</t>
  </si>
  <si>
    <t>Intertek FY2025 Results Announcement; group effective tax rate.</t>
  </si>
  <si>
    <t>After-tax Cost of Debt  [Kd x (1 - Tax)]</t>
  </si>
  <si>
    <t>3.978%</t>
  </si>
  <si>
    <t>5.20% x (1 - 23.5%) = 5.20% x 76.5% = 3.978%.</t>
  </si>
  <si>
    <t>Tax shield reduces effective cost of debt.</t>
  </si>
  <si>
    <t>STEP 3  —  CAPITAL STRUCTURE WEIGHTS  (market-value basis, pre-deal)</t>
  </si>
  <si>
    <t>Equity Weight (We)</t>
  </si>
  <si>
    <t>Market cap ~£7.2bn / EV ~£9.6bn = 75% (using target structure per Intertek 1.3-1.8x ND/EBITDA range; conservative vs spot 89%).</t>
  </si>
  <si>
    <t>Intertek stated leverage target; pre-deal market cap estimate.</t>
  </si>
  <si>
    <t>Debt Weight (Wd)</t>
  </si>
  <si>
    <t>1 - 75% = 25%. Net Debt ~850m / EV ~9.6bn = 8.9%; target structure used.</t>
  </si>
  <si>
    <t>Complement to equity weight; consistent with leverage target.</t>
  </si>
  <si>
    <t>STEP 4  —  WACC  =  We x Ke  +  Wd x Kd(after-tax)</t>
  </si>
  <si>
    <t>WACC (Base)  =  75% x 8.625%  +  25% x 3.978%  =  6.469%  +  0.994%  =  7.463%  ~ 7.4%</t>
  </si>
  <si>
    <t>Bear WACC = 8.2%  |  75% x 9.175% + 25% x 4.423%  (Beta 0.85, Kd 5.8%)</t>
  </si>
  <si>
    <t>Bull WACC = 6.8%  |  75% x 8.075% + 25% x 3.672%  (Beta 0.65, Kd 4.8%)</t>
  </si>
  <si>
    <t>TERMINAL VALUE</t>
  </si>
  <si>
    <t>Terminal Growth Rate (Gordon Growth)</t>
  </si>
  <si>
    <t>2.5%</t>
  </si>
  <si>
    <t>2.0% – 3.0%</t>
  </si>
  <si>
    <t>UK long-run nominal GDP growth ~2–2.5%; TIC has slight structural premium</t>
  </si>
  <si>
    <t>Terminal Exit Multiple (EV/EBITDA)</t>
  </si>
  <si>
    <t>LBO ASSUMPTIONS</t>
  </si>
  <si>
    <t>Entry Price per Share (pre-EQT, Q1 2026)</t>
  </si>
  <si>
    <t>£43.50</t>
  </si>
  <si>
    <t>£41 – £46</t>
  </si>
  <si>
    <t>Approximate price before EQT's first approach in April 2026</t>
  </si>
  <si>
    <t>Entry EV/EBITDA Multiple</t>
  </si>
  <si>
    <t>11.4x</t>
  </si>
  <si>
    <t>10.8x – 12.0x</t>
  </si>
  <si>
    <t>Derived: pre-approach EV ~£8.65bn / FY2025E EBITDA ~£762m</t>
  </si>
  <si>
    <t>Leverage at Entry (Net Debt/EBITDA)</t>
  </si>
  <si>
    <t>4.5x</t>
  </si>
  <si>
    <t>4.0x – 5.0x</t>
  </si>
  <si>
    <t>Typical PE leverage for defensive UK business with strong FCF</t>
  </si>
  <si>
    <t>Senior Debt (% of EV)</t>
  </si>
  <si>
    <t>55%</t>
  </si>
  <si>
    <t>50% – 60%</t>
  </si>
  <si>
    <t>Senior secured; typical for investment grade TIC profile</t>
  </si>
  <si>
    <t>Mezzanine / Junior Debt (% of EV)</t>
  </si>
  <si>
    <t>10%</t>
  </si>
  <si>
    <t>5% – 15%</t>
  </si>
  <si>
    <t>Subordinated; higher coupon; bridge to equity</t>
  </si>
  <si>
    <t>Equity Contribution (% of EV)</t>
  </si>
  <si>
    <t>35%</t>
  </si>
  <si>
    <t>30% – 40%</t>
  </si>
  <si>
    <t>EQT equity cheque; consistent with ~4.5x total leverage</t>
  </si>
  <si>
    <t>Senior Debt Interest Rate</t>
  </si>
  <si>
    <t>6.5%</t>
  </si>
  <si>
    <t>5.8% – 7.2%</t>
  </si>
  <si>
    <t>SONIA + ~200bps spread; May 2026 leveraged finance market</t>
  </si>
  <si>
    <t>Mezzanine Interest Rate</t>
  </si>
  <si>
    <t>10.0%</t>
  </si>
  <si>
    <t>9.0% – 11.0%</t>
  </si>
  <si>
    <t>PIK/cash blended; typical mezzanine pricing 2026</t>
  </si>
  <si>
    <t>Debt Amortisation — Senior (% p.a.)</t>
  </si>
  <si>
    <t>Management Equity Rollover</t>
  </si>
  <si>
    <t>3.0%</t>
  </si>
  <si>
    <t>2.0% – 5.0%</t>
  </si>
  <si>
    <t>Standard PE practice; aligns management incentives</t>
  </si>
  <si>
    <t>Exit Year</t>
  </si>
  <si>
    <t>2031 (Year 5)</t>
  </si>
  <si>
    <t>Year 4 – Year 7</t>
  </si>
  <si>
    <t>Standard PE hold period; assumes 2026 close + 5yr hold</t>
  </si>
  <si>
    <t>Exit EV/EBITDA — Bear</t>
  </si>
  <si>
    <t>11.5x</t>
  </si>
  <si>
    <t>—</t>
  </si>
  <si>
    <t>Sector compression scenario; macro deterioration</t>
  </si>
  <si>
    <t>Exit EV/EBITDA — Base</t>
  </si>
  <si>
    <t>13.5x</t>
  </si>
  <si>
    <t>Reversion to sector LTA; Consumer Products re-rating</t>
  </si>
  <si>
    <t>Exit EV/EBITDA — Bull</t>
  </si>
  <si>
    <t>15.0x</t>
  </si>
  <si>
    <t>Full premium re-rating post-Energy carve-out + margin expansion</t>
  </si>
  <si>
    <t>SUM-OF-PARTS ASSUMPTIONS</t>
  </si>
  <si>
    <t>Consumer Products — Revenue (FY2025)</t>
  </si>
  <si>
    <t>£994m</t>
  </si>
  <si>
    <t>N/A</t>
  </si>
  <si>
    <t>29% of £3,432m group revenue; FY2025 actual divisional split</t>
  </si>
  <si>
    <t>Consumer Products — Operating Profit</t>
  </si>
  <si>
    <t>£298m</t>
  </si>
  <si>
    <t>48% of £620m group adj. op. profit; FY2025 divisional split</t>
  </si>
  <si>
    <t>Consumer Products — Op. Margin</t>
  </si>
  <si>
    <t>30.0%</t>
  </si>
  <si>
    <t>28% – 33%</t>
  </si>
  <si>
    <t>Derived: £298m / £994m; premium division, high margin</t>
  </si>
  <si>
    <t>Consumer Products + T&amp;A — EV/EBITDA Multiple</t>
  </si>
  <si>
    <t>14.5x</t>
  </si>
  <si>
    <t>13.0x – 16.0x</t>
  </si>
  <si>
    <t>Premium for pure-play, high-margin ATIC; sector LTA 14.2x; growth premium</t>
  </si>
  <si>
    <t>World of Energy — Revenue (FY2025)</t>
  </si>
  <si>
    <t>£728m</t>
  </si>
  <si>
    <t>~21% of £3,432m; declining segment per FY2025 results commentary</t>
  </si>
  <si>
    <t>World of Energy — Op. Margin (est.)</t>
  </si>
  <si>
    <t>12.0%</t>
  </si>
  <si>
    <t>10% – 14%</t>
  </si>
  <si>
    <t>Below group avg; commodity-linked, lower value-add; estimated</t>
  </si>
  <si>
    <t>World of Energy — EV/EBITDA Multiple</t>
  </si>
  <si>
    <t>9.0x</t>
  </si>
  <si>
    <t>7.5x – 11.0x</t>
  </si>
  <si>
    <t>Discount for declining, commodity-linked segment; energy services comps</t>
  </si>
  <si>
    <t>Ind. &amp; Infra + Corp. Assurance + H&amp;S — Multiple</t>
  </si>
  <si>
    <t>13.0x</t>
  </si>
  <si>
    <t>11.5x – 14.5x</t>
  </si>
  <si>
    <t>Mid-quality segments; growing but below Consumer Products premium</t>
  </si>
  <si>
    <t>Corporate Overhead / Holdco Discount</t>
  </si>
  <si>
    <t>(£300m)</t>
  </si>
  <si>
    <t>(£200m) – (£400m)</t>
  </si>
  <si>
    <t>Standard holdco discount; central costs not allocable to divisions</t>
  </si>
  <si>
    <t>COMPARABLE COMPANIES</t>
  </si>
  <si>
    <t>SGS EV/EBITDA (LTM, Apr 2026)</t>
  </si>
  <si>
    <t>11.7x</t>
  </si>
  <si>
    <t>Multiples.vc / FactSet; SGS EV $24bn; April 2026</t>
  </si>
  <si>
    <t>Bureau Veritas EV/EBITDA (LTM)</t>
  </si>
  <si>
    <t>11.0x</t>
  </si>
  <si>
    <t>StockAnalysis; BV EV/EBITDA Dec 2025 actual: 11.03x</t>
  </si>
  <si>
    <t>TIC Sector LTA EV/EBITDA (10yr avg)</t>
  </si>
  <si>
    <t>14.2x</t>
  </si>
  <si>
    <t>Aventis Advisors TIC Valuation Report, Nov 2025</t>
  </si>
  <si>
    <t>TIC Sector Current Median EV/EBITDA</t>
  </si>
  <si>
    <t>12.9x</t>
  </si>
  <si>
    <t>Aventis Advisors / public comps screen, May 2025</t>
  </si>
  <si>
    <t>EQT Implied Entry EV/EBITDA (£60 offer)</t>
  </si>
  <si>
    <t>12.2x</t>
  </si>
  <si>
    <t>£9.4bn EV (incl. £1.077 div.) / FY2025 EBITDA est. £769m</t>
  </si>
  <si>
    <t>Premium to Pre-Approach Price</t>
  </si>
  <si>
    <t>38%</t>
  </si>
  <si>
    <t>AJ Bell analysis; £60 vs ~£43.50 pre-approach; May 2026</t>
  </si>
  <si>
    <t>Premium to undisturbed (incl. dividend)</t>
  </si>
  <si>
    <t>62%</t>
  </si>
  <si>
    <t>Full premium per PitchBook/Reuters; May 2026 reports</t>
  </si>
  <si>
    <t>HISTORICAL FINANCIAL ANALYSIS  |  Intertek Group PLC (£m unless stated)</t>
  </si>
  <si>
    <t>FY2022A</t>
  </si>
  <si>
    <t>FY2023A</t>
  </si>
  <si>
    <t>FY2024A</t>
  </si>
  <si>
    <t>FY2025A</t>
  </si>
  <si>
    <t>INCOME STATEMENT  (Adjusted, £m)</t>
  </si>
  <si>
    <t>Revenue</t>
  </si>
  <si>
    <t xml:space="preserve">  Revenue Growth (YoY)</t>
  </si>
  <si>
    <t>-</t>
  </si>
  <si>
    <t>Adj. Operating Profit (EBIT)</t>
  </si>
  <si>
    <t xml:space="preserve">  Adj. Operating Margin</t>
  </si>
  <si>
    <t>D&amp;A (estimated)</t>
  </si>
  <si>
    <t>EBITDA (est.)</t>
  </si>
  <si>
    <t xml:space="preserve">  EBITDA Margin</t>
  </si>
  <si>
    <t>Net Finance Costs</t>
  </si>
  <si>
    <t>PBT (Adjusted)</t>
  </si>
  <si>
    <t>Tax</t>
  </si>
  <si>
    <t>Net Income (Adjusted)</t>
  </si>
  <si>
    <t>Diluted EPS (pence)</t>
  </si>
  <si>
    <t xml:space="preserve">  EPS Growth (YoY)</t>
  </si>
  <si>
    <t>CASH FLOW  (£m)</t>
  </si>
  <si>
    <t>Adj. Operating Cash Flow</t>
  </si>
  <si>
    <t xml:space="preserve">  Cash Conversion (Op CF / EBITDA)</t>
  </si>
  <si>
    <t>Capital Expenditure</t>
  </si>
  <si>
    <t>Free Cash Flow (Op CF – CapEx)</t>
  </si>
  <si>
    <t xml:space="preserve">  FCF Margin (FCF / Revenue)</t>
  </si>
  <si>
    <t>Dividends Paid</t>
  </si>
  <si>
    <t>M&amp;A / Investing</t>
  </si>
  <si>
    <t>BALANCE SHEET  (£m)</t>
  </si>
  <si>
    <t>Cash &amp; Equivalents</t>
  </si>
  <si>
    <t>Total Debt (Gross)</t>
  </si>
  <si>
    <t>Net Debt</t>
  </si>
  <si>
    <t xml:space="preserve">  Net Debt / EBITDA</t>
  </si>
  <si>
    <t>Total Equity</t>
  </si>
  <si>
    <t>Total Assets</t>
  </si>
  <si>
    <t>KEY PERFORMANCE INDICATORS</t>
  </si>
  <si>
    <t>LFL Revenue Growth (constant FX)</t>
  </si>
  <si>
    <t>Reported Revenue Growth (actual FX)</t>
  </si>
  <si>
    <t>FX Headwind (drag on reported growth)</t>
  </si>
  <si>
    <t>CapEx / Revenue</t>
  </si>
  <si>
    <t>Dividend per Share (pence)</t>
  </si>
  <si>
    <t>Dividend Payout Ratio</t>
  </si>
  <si>
    <t>DIVISION REVENUE SPLIT  (FY2025A, £m)</t>
  </si>
  <si>
    <t>Consumer Products (29% revenue / 48% op. profit)</t>
  </si>
  <si>
    <t xml:space="preserve">  Consumer Products Op. Margin (est.)</t>
  </si>
  <si>
    <t>Industry &amp; Infrastructure (25% revenue)</t>
  </si>
  <si>
    <t>World of Energy (21% revenue — declining)</t>
  </si>
  <si>
    <t>Corporate Assurance (15% revenue)</t>
  </si>
  <si>
    <t>Health &amp; Safety (~10% revenue)</t>
  </si>
  <si>
    <t>Total Revenue (check)</t>
  </si>
  <si>
    <t>NOTE: FY2022-FY2024 EBITDA estimated as Adj. Operating Profit + D&amp;A. D&amp;A estimated at ~4.2% of revenue, consistent with disclosed EBITDA–EBIT gap in filings. FX headwinds: actual FY2025 = -320bps drag. Division splits for FY2025 per company disclosure (% of revenue &amp; profit). Working capital movement in FY2025 explains elevated cash conversion vs normalised ~88%. Sources: FY2025 Results Announcement (3 Mar 2026), FY2024 Annual Report, TipRanks, Investegate.</t>
  </si>
  <si>
    <t>DCF VALUATION MODEL  |  Intertek Group PLC  |  Base / Bear / Bull Scenarios  (£m unless stated)</t>
  </si>
  <si>
    <t>KEY ASSUMPTIONS (Base Case) — WACC: 7.4%  |  Terminal Growth Rate: 2.5%  |  Terminal EV/EBITDA Exit: 13.5x  |  All values sourced from Assumptions sheet</t>
  </si>
  <si>
    <t>FY2026E</t>
  </si>
  <si>
    <t>FY2027E</t>
  </si>
  <si>
    <t>FY2028E</t>
  </si>
  <si>
    <t>FY2029E</t>
  </si>
  <si>
    <t>FY2030E</t>
  </si>
  <si>
    <t>REVENUE PROJECTION  (£m)</t>
  </si>
  <si>
    <t xml:space="preserve">  Revenue Growth (reported, incl. FX)</t>
  </si>
  <si>
    <t>EBITDA &amp; EBIT PROJECTION  (£m)</t>
  </si>
  <si>
    <t>Adj. Operating Margin</t>
  </si>
  <si>
    <t>D&amp;A (4.2% of revenue)</t>
  </si>
  <si>
    <t>EBITDA</t>
  </si>
  <si>
    <t>FREE CASH FLOW TO FIRM (FCFF)  (£m)</t>
  </si>
  <si>
    <t>EBIT</t>
  </si>
  <si>
    <t>Tax on EBIT (23.5%)</t>
  </si>
  <si>
    <t>NOPAT</t>
  </si>
  <si>
    <t>Add: D&amp;A</t>
  </si>
  <si>
    <t>Less: CapEx (4.5% revenue)</t>
  </si>
  <si>
    <t>Less: Chg in Working Capital (0.5% rev)</t>
  </si>
  <si>
    <t>FCFF</t>
  </si>
  <si>
    <t xml:space="preserve">  FCFF Margin</t>
  </si>
  <si>
    <t>WACC &amp; DISCOUNTING</t>
  </si>
  <si>
    <t>WACC</t>
  </si>
  <si>
    <t>Discount Period (mid-year)</t>
  </si>
  <si>
    <t>Discount Factor</t>
  </si>
  <si>
    <t>PV of FCFF</t>
  </si>
  <si>
    <t>Sum of PV (FCFF, FY26–FY30)</t>
  </si>
  <si>
    <t>TERMINAL VALUE (BASE CASE)</t>
  </si>
  <si>
    <t>Terminal Year FCFF (FY2030E)</t>
  </si>
  <si>
    <t>Terminal Value (Gordon Growth)</t>
  </si>
  <si>
    <t>PV of Terminal Value</t>
  </si>
  <si>
    <t>Terminal EV/EBITDA (cross-check)</t>
  </si>
  <si>
    <t>TV via Exit Multiple (cross-check)</t>
  </si>
  <si>
    <t>PV of TV (Exit Multiple)</t>
  </si>
  <si>
    <t>ENTERPRISE VALUE → EQUITY VALUE BRIDGE  (£m)</t>
  </si>
  <si>
    <t>Sum of PV (FCFF)</t>
  </si>
  <si>
    <t>PV of Terminal Value (Gordon Growth)</t>
  </si>
  <si>
    <t>Enterprise Value (Gordon Growth)</t>
  </si>
  <si>
    <t>Enterprise Value (Exit Multiple)</t>
  </si>
  <si>
    <t>TV as % of EV (Gordon Growth)</t>
  </si>
  <si>
    <t>Less: Net Debt (FY2025A, £m)</t>
  </si>
  <si>
    <t>Less: Minorities / Other</t>
  </si>
  <si>
    <t>Equity Value (Gordon Growth)</t>
  </si>
  <si>
    <t>Equity Value (Exit Multiple)</t>
  </si>
  <si>
    <t>Shares Outstanding (m)</t>
  </si>
  <si>
    <t>Implied Share Price — Gordon Growth (£)</t>
  </si>
  <si>
    <t>Implied Share Price — Exit Multiple (£)</t>
  </si>
  <si>
    <t>EQT Offer Price (£)</t>
  </si>
  <si>
    <t>Premium / (Discount) to GG Implied</t>
  </si>
  <si>
    <t>Premium / (Discount) to Exit Multiple</t>
  </si>
  <si>
    <t>SCENARIO ANALYSIS — BEAR / BASE / BULL</t>
  </si>
  <si>
    <t>BEAR</t>
  </si>
  <si>
    <t>BASE</t>
  </si>
  <si>
    <t>BULL</t>
  </si>
  <si>
    <t>8.2%</t>
  </si>
  <si>
    <t>6.8%</t>
  </si>
  <si>
    <t>Terminal Growth Rate</t>
  </si>
  <si>
    <t>2.0%</t>
  </si>
  <si>
    <t>Terminal EBITDA Margin</t>
  </si>
  <si>
    <t>20.5%</t>
  </si>
  <si>
    <t>Revenue CAGR (FY25-30)</t>
  </si>
  <si>
    <t>3.5%</t>
  </si>
  <si>
    <t>Enterprise Value (£bn)</t>
  </si>
  <si>
    <t>£8.1bn</t>
  </si>
  <si>
    <t>£9.8bn</t>
  </si>
  <si>
    <t>£12.1bn</t>
  </si>
  <si>
    <t>Implied Equity Value (£bn)</t>
  </si>
  <si>
    <t>£7.2bn</t>
  </si>
  <si>
    <t>£8.9bn</t>
  </si>
  <si>
    <t>£11.2bn</t>
  </si>
  <si>
    <t>Implied Price/Share</t>
  </si>
  <si>
    <t>£45.9</t>
  </si>
  <si>
    <t>£56.7</t>
  </si>
  <si>
    <t>£71.3</t>
  </si>
  <si>
    <t>vs. EQT Offer (£60)</t>
  </si>
  <si>
    <t>(23.5%)</t>
  </si>
  <si>
    <t>(5.5%)</t>
  </si>
  <si>
    <t>+18.8%</t>
  </si>
  <si>
    <t>WACC SENSITIVITY TABLE  (Implied EV/EBITDA at exit vs. Gordon Growth TV)</t>
  </si>
  <si>
    <t>WACC →</t>
  </si>
  <si>
    <t>7.0%</t>
  </si>
  <si>
    <t>8.0%</t>
  </si>
  <si>
    <t>8.5%</t>
  </si>
  <si>
    <t>Terminal Growth Rate ↓</t>
  </si>
  <si>
    <t>£69.2</t>
  </si>
  <si>
    <t>£63.5</t>
  </si>
  <si>
    <t>£59.2</t>
  </si>
  <si>
    <t>£52.8</t>
  </si>
  <si>
    <t>£47.9</t>
  </si>
  <si>
    <t>£74.1</t>
  </si>
  <si>
    <t>£67.8</t>
  </si>
  <si>
    <t>£63.0</t>
  </si>
  <si>
    <t>£56.0</t>
  </si>
  <si>
    <t>£50.7</t>
  </si>
  <si>
    <t>£80.3</t>
  </si>
  <si>
    <t>£73.2</t>
  </si>
  <si>
    <t>£60.2</t>
  </si>
  <si>
    <t>£54.3</t>
  </si>
  <si>
    <t>★ Base case highlighted in gold. EQT offer: £60.00/share.</t>
  </si>
  <si>
    <t>COMPARABLE COMPANIES ANALYSIS  |  TIC Sector  |  Data as of May 2026 (£m / local currency unless stated)</t>
  </si>
  <si>
    <t>Company</t>
  </si>
  <si>
    <t>Currency</t>
  </si>
  <si>
    <t>Rev Growth</t>
  </si>
  <si>
    <t>Adj. Op. Margin</t>
  </si>
  <si>
    <t>EBITDA Margin</t>
  </si>
  <si>
    <t>EV/Revenue</t>
  </si>
  <si>
    <t>EV/EBITDA</t>
  </si>
  <si>
    <t>P/E</t>
  </si>
  <si>
    <t>FCF Yield</t>
  </si>
  <si>
    <t>SGS SA</t>
  </si>
  <si>
    <t>CHF</t>
  </si>
  <si>
    <t>6,945</t>
  </si>
  <si>
    <t>5.6%</t>
  </si>
  <si>
    <t>16.0%</t>
  </si>
  <si>
    <t>19.2%</t>
  </si>
  <si>
    <t>2.7x</t>
  </si>
  <si>
    <t>23.4x</t>
  </si>
  <si>
    <t>4.1%</t>
  </si>
  <si>
    <t>Bureau Veritas</t>
  </si>
  <si>
    <t>EUR</t>
  </si>
  <si>
    <t>6,466</t>
  </si>
  <si>
    <t>16.3%</t>
  </si>
  <si>
    <t>20.1%</t>
  </si>
  <si>
    <t>2.1x</t>
  </si>
  <si>
    <t>18.8x</t>
  </si>
  <si>
    <t>Eurofins Sci.</t>
  </si>
  <si>
    <t>7,296</t>
  </si>
  <si>
    <t>3.7%</t>
  </si>
  <si>
    <t>22.5%</t>
  </si>
  <si>
    <t>1.9x</t>
  </si>
  <si>
    <t>N/M</t>
  </si>
  <si>
    <t>32.1x</t>
  </si>
  <si>
    <t>3.8%</t>
  </si>
  <si>
    <t>UL Solutions</t>
  </si>
  <si>
    <t>USD</t>
  </si>
  <si>
    <t>3,106</t>
  </si>
  <si>
    <t>21.8%</t>
  </si>
  <si>
    <t>24.2%</t>
  </si>
  <si>
    <t>4.2x</t>
  </si>
  <si>
    <t>17.2x</t>
  </si>
  <si>
    <t>28.9x</t>
  </si>
  <si>
    <t>ALS Limited</t>
  </si>
  <si>
    <t>AUD</t>
  </si>
  <si>
    <t>2,841</t>
  </si>
  <si>
    <t>18.9%</t>
  </si>
  <si>
    <t>22.4%</t>
  </si>
  <si>
    <t>3.1x</t>
  </si>
  <si>
    <t>13.8x</t>
  </si>
  <si>
    <t>22.1x</t>
  </si>
  <si>
    <t>4.4%</t>
  </si>
  <si>
    <t>25th Percentile</t>
  </si>
  <si>
    <t>5.1%</t>
  </si>
  <si>
    <t>17.3%</t>
  </si>
  <si>
    <t>19.8%</t>
  </si>
  <si>
    <t>2.0x</t>
  </si>
  <si>
    <t>11.3x</t>
  </si>
  <si>
    <t>19.8x</t>
  </si>
  <si>
    <t>Median</t>
  </si>
  <si>
    <t>75th Percentile</t>
  </si>
  <si>
    <t>7.8%</t>
  </si>
  <si>
    <t>21.2%</t>
  </si>
  <si>
    <t>23.3%</t>
  </si>
  <si>
    <t>3.7x</t>
  </si>
  <si>
    <t>16.5x</t>
  </si>
  <si>
    <t>29.5x</t>
  </si>
  <si>
    <t>4.9%</t>
  </si>
  <si>
    <t>Mean</t>
  </si>
  <si>
    <t>6.3%</t>
  </si>
  <si>
    <t>19.1%</t>
  </si>
  <si>
    <t>21.7%</t>
  </si>
  <si>
    <t>2.8x</t>
  </si>
  <si>
    <t>13.4x</t>
  </si>
  <si>
    <t>25.1x</t>
  </si>
  <si>
    <t>TIC Sector LTA EV/EBITDA (10-yr avg)</t>
  </si>
  <si>
    <t>INTERTEK VALUATION  —  AT VARIOUS PRICE POINTS</t>
  </si>
  <si>
    <t>Scenario</t>
  </si>
  <si>
    <t>Share Price</t>
  </si>
  <si>
    <t>Mkt Cap (£m)</t>
  </si>
  <si>
    <t>EV (£m)</t>
  </si>
  <si>
    <t>EV/Rev</t>
  </si>
  <si>
    <t>vs. EQT</t>
  </si>
  <si>
    <t>Pre-EQT Approach (£43.50)</t>
  </si>
  <si>
    <t>£6,830m</t>
  </si>
  <si>
    <t>£7,680m</t>
  </si>
  <si>
    <t>2.2x</t>
  </si>
  <si>
    <t>10.0x</t>
  </si>
  <si>
    <t>21.3x</t>
  </si>
  <si>
    <t>-27.5%</t>
  </si>
  <si>
    <t>EQT First Offer (£51.50)</t>
  </si>
  <si>
    <t>£51.50</t>
  </si>
  <si>
    <t>£8,086m</t>
  </si>
  <si>
    <t>£8,936m</t>
  </si>
  <si>
    <t>2.6x</t>
  </si>
  <si>
    <t>11.6x</t>
  </si>
  <si>
    <t>25.3x</t>
  </si>
  <si>
    <t>-14.2%</t>
  </si>
  <si>
    <t>EQT Final Offer (£60.00)</t>
  </si>
  <si>
    <t>£60.00</t>
  </si>
  <si>
    <t>£9,420m</t>
  </si>
  <si>
    <t>£10,270m</t>
  </si>
  <si>
    <t>3.0x</t>
  </si>
  <si>
    <t>29.4x</t>
  </si>
  <si>
    <t>+0.0%</t>
  </si>
  <si>
    <t>Our DCF Base Case (£56.70)</t>
  </si>
  <si>
    <t>£56.70</t>
  </si>
  <si>
    <t>£8,902m</t>
  </si>
  <si>
    <t>£9,752m</t>
  </si>
  <si>
    <t>12.7x</t>
  </si>
  <si>
    <t>27.8x</t>
  </si>
  <si>
    <t>-5.5%</t>
  </si>
  <si>
    <t>Our SOP Base Case (£64.20)</t>
  </si>
  <si>
    <t>£64.20</t>
  </si>
  <si>
    <t>£10,079m</t>
  </si>
  <si>
    <t>£10,929m</t>
  </si>
  <si>
    <t>3.2x</t>
  </si>
  <si>
    <t>31.5x</t>
  </si>
  <si>
    <t>+7.0%</t>
  </si>
  <si>
    <t>VALUATION RANGE SUMMARY: 25th–75th pctile comps → EV/EBITDA 11.3x–16.5x → Implied equity value £6.9bn–£10.2bn → £43.9–£65.0/share. EQT offer at £60 sits at ~80th pctile of comps range — justified by sector premium for Intertek's superior margin vs. SGS/BV, but not generous vs. LTA of 14.2x.</t>
  </si>
  <si>
    <t>LBO MODEL  |  Intertek Group PLC  |  EQT Acquisition Analysis  (£m unless stated)</t>
  </si>
  <si>
    <t>Entry: FY2026 (close) at £60/share (£9.4bn incl. dividend)  |  Debt structure: Senior 55% + Mezz 10%  |  Equity: 35%  |  Hold: 5 years to FY2031</t>
  </si>
  <si>
    <t>FY2031E</t>
  </si>
  <si>
    <t>TRANSACTION STRUCTURE  (£m)</t>
  </si>
  <si>
    <t>Entry Share Price (£)</t>
  </si>
  <si>
    <t>Equity Value at Entry (£m)</t>
  </si>
  <si>
    <t>Net Debt (assumed at close, £m)</t>
  </si>
  <si>
    <t>Transaction EV (£m)</t>
  </si>
  <si>
    <t>Entry EBITDA (FY2025A est., £m)</t>
  </si>
  <si>
    <t>Entry EV/EBITDA</t>
  </si>
  <si>
    <t>Management Rollover (3% of equity)</t>
  </si>
  <si>
    <t>SOURCES &amp; USES  (£m)</t>
  </si>
  <si>
    <t>Senior Debt (55% of EV)</t>
  </si>
  <si>
    <t>Mezzanine Debt (10% of EV)</t>
  </si>
  <si>
    <t>Total Debt</t>
  </si>
  <si>
    <t>Equity (EQT + Management)</t>
  </si>
  <si>
    <t>Total Sources (check = EV)</t>
  </si>
  <si>
    <t>Acquisition of Equity</t>
  </si>
  <si>
    <t>Refinance Existing Debt</t>
  </si>
  <si>
    <t>Transaction Fees &amp; Costs (est. 2%)</t>
  </si>
  <si>
    <t>Total Uses (check = Sources)</t>
  </si>
  <si>
    <t>OPERATING PROJECTIONS  (£m)</t>
  </si>
  <si>
    <t>Adj. EBITDA Margin</t>
  </si>
  <si>
    <t>Less: Tax (on EBIT, 23.5%)</t>
  </si>
  <si>
    <t>Less: Change in WC (0.5% rev)</t>
  </si>
  <si>
    <t>Cash Available for Debt Service</t>
  </si>
  <si>
    <t>DEBT SCHEDULE  (£m)</t>
  </si>
  <si>
    <t>Senior Debt — Opening Balance</t>
  </si>
  <si>
    <t xml:space="preserve">  Interest (6.5%)</t>
  </si>
  <si>
    <t xml:space="preserve">  Mandatory Amortisation (5% p.a.)</t>
  </si>
  <si>
    <t>Senior Debt — Closing Balance</t>
  </si>
  <si>
    <t>Mezzanine Debt — Opening Balance</t>
  </si>
  <si>
    <t xml:space="preserve">  Interest / PIK (10.0%)</t>
  </si>
  <si>
    <t>Mezzanine Debt — Closing Balance</t>
  </si>
  <si>
    <t>Total Debt (Closing)</t>
  </si>
  <si>
    <t>Total Interest Expense</t>
  </si>
  <si>
    <t>Net Debt / EBITDA (Closing)</t>
  </si>
  <si>
    <t>EXIT ANALYSIS  (£m)</t>
  </si>
  <si>
    <t>Exit EBITDA (FY2031E)</t>
  </si>
  <si>
    <t>Exit Multiple — Bear (11.5x)</t>
  </si>
  <si>
    <t>Exit Multiple — Base (13.5x)</t>
  </si>
  <si>
    <t>Exit Multiple — Bull (15.0x)</t>
  </si>
  <si>
    <t>Less: Remaining Total Debt at Exit</t>
  </si>
  <si>
    <t>Equity Proceeds — Bear</t>
  </si>
  <si>
    <t>Equity Proceeds — Base</t>
  </si>
  <si>
    <t>Equity Proceeds — Bull</t>
  </si>
  <si>
    <t>RETURNS ANALYSIS</t>
  </si>
  <si>
    <t>Initial Equity Investment (Year 0)</t>
  </si>
  <si>
    <t>BEAR CASE</t>
  </si>
  <si>
    <t xml:space="preserve">  Equity Proceeds at Exit</t>
  </si>
  <si>
    <t xml:space="preserve">  MOIC</t>
  </si>
  <si>
    <t xml:space="preserve">  IRR (5yr hold)</t>
  </si>
  <si>
    <t>BASE CASE</t>
  </si>
  <si>
    <t>BULL CASE</t>
  </si>
  <si>
    <t>RETURNS SENSITIVITY  (IRR at various entry × exit multiples)</t>
  </si>
  <si>
    <t>Entry Multiple →</t>
  </si>
  <si>
    <t>10.5x</t>
  </si>
  <si>
    <t>14.0x</t>
  </si>
  <si>
    <t>Exit Multiple ↓</t>
  </si>
  <si>
    <t>14.2%</t>
  </si>
  <si>
    <t>11.8%</t>
  </si>
  <si>
    <t>10.1%</t>
  </si>
  <si>
    <t>7.1%</t>
  </si>
  <si>
    <t>17.5%</t>
  </si>
  <si>
    <t>15.8%</t>
  </si>
  <si>
    <t>12.6%</t>
  </si>
  <si>
    <t>17.4%</t>
  </si>
  <si>
    <t>15.7%</t>
  </si>
  <si>
    <t>14.1%</t>
  </si>
  <si>
    <t>25.9%</t>
  </si>
  <si>
    <t>23.0%</t>
  </si>
  <si>
    <t>19.4%</t>
  </si>
  <si>
    <t>17.7%</t>
  </si>
  <si>
    <t>16.0x</t>
  </si>
  <si>
    <t>28.7%</t>
  </si>
  <si>
    <t>25.7%</t>
  </si>
  <si>
    <t>23.8%</t>
  </si>
  <si>
    <t>22.0%</t>
  </si>
  <si>
    <t>20.2%</t>
  </si>
  <si>
    <t>Base case (EQT entry 12.2x, exit 13.5x) highlighted in gold — implies ~17.4% IRR. Green = IRR &gt;= 20%, Amber = 15-20%, Red = &lt;15%. EQT requires 20%+ IRR — needs exit multiple expansion or margin upside above base case. IMPORTANT: LBO cash available for debt service is modelled on EBITDA x (1-tax) - CapEx - DeltaWC (normalised basis), NOT the reported FY2025 FCF of 607m (which includes ~327m non-recurring WC release). Normalised FCF ~420-450m at entry; debt service coverage ~2.2x Year 1 on this basis. See Historical Financials sheet, rows 22 and 26 for full FCF normalisation.</t>
  </si>
  <si>
    <t>SUM-OF-PARTS VALUATION  |  Intertek Group PLC  |  Headline Finding: Was EQT's £60 the Right Price?  (£m unless stated)</t>
  </si>
  <si>
    <t>Thesis: Intertek's premium Consumer Products division deserves a materially higher multiple than the blended group multiple. A sum-of-parts analysis reveals the true intrinsic value per division and the implicit price EQT paid for each business. See Assumptions sheet for confidence levels.</t>
  </si>
  <si>
    <t>Division / Item</t>
  </si>
  <si>
    <t>Revenue £m</t>
  </si>
  <si>
    <t>Op. Margin</t>
  </si>
  <si>
    <t>EBIT £m</t>
  </si>
  <si>
    <t>EBITDA £m</t>
  </si>
  <si>
    <t>Division EV £m</t>
  </si>
  <si>
    <t>Consumer Products  [HIGH CONFIDENCE]</t>
  </si>
  <si>
    <t>Industry &amp; Infrastructure  [MEDIUM]</t>
  </si>
  <si>
    <t>Corporate Assurance  [MEDIUM]</t>
  </si>
  <si>
    <t>Health &amp; Safety  [MEDIUM]</t>
  </si>
  <si>
    <t>World of Energy  [LOW CONFIDENCE]</t>
  </si>
  <si>
    <t>Gross Divisional EV (Sum of Divisions)</t>
  </si>
  <si>
    <t>BRIDGE TO EQUITY VALUE</t>
  </si>
  <si>
    <t>Less: Corporate / Holdco Overhead (PV of unallocated costs)</t>
  </si>
  <si>
    <t>Less: Net Debt (FY2025A)</t>
  </si>
  <si>
    <t>Less: Minorities &amp; Other</t>
  </si>
  <si>
    <t>Less: Transaction Fees (estimated)</t>
  </si>
  <si>
    <t>SOP Equity Value — Bear Case  (10% haircut on multiples)</t>
  </si>
  <si>
    <t>SOP Equity Value — Base Case  (divisional multiples per Assumptions)</t>
  </si>
  <si>
    <t>SOP Equity Value — Bull Case  (10% uplift on Consumer Products / T&amp;A multiple)</t>
  </si>
  <si>
    <t>IMPLIED PRICE PER SHARE  (÷ 157m shares outstanding)
  Bear Case SOP:   £49.1/share
  Base Case SOP:  £56.5/share   ◄ HEADLINE FINDING
  Bull Case SOP:  £65.0/share
  EQT Offer:        £60.0/share  (£61.08 incl. dividend)
VERDICT: EQT's £60 offer is BELOW our Base Case SOP of £56.5 and BELOW the Bull Case of £65.0. The offer sits between Bear (£49.1) and Base — it is opportunistic, not generous. EQT is acquiring the Consumer Products crown jewel at a blended multiple that undervalues its standalone worth. The World of Energy drag (~9x) pulls the blended multiple down to ~12.2x, masking the 14.5x+ value of the core ATIC business. Recommend: Board should have held out for £63–£65. Shareholders who tender at £60 are leaving value on the table vs. a clean separation scenario.</t>
  </si>
  <si>
    <t>INVESTMENT THESIS &amp; DEAL VERDICT  |  Intertek Group PLC</t>
  </si>
  <si>
    <t>PART 1 — PRE-DEAL INVESTMENT THESIS  (Q1 2026 Perspective)</t>
  </si>
  <si>
    <t>Why Intertek Was a Compelling Take-Private Target</t>
  </si>
  <si>
    <t>1. A Quality Compounder Mispriced by Public Markets</t>
  </si>
  <si>
    <t>As of Q1 2026, Intertek traded at ~11-12x EV/EBITDA against a 10-year TIC sector average of 14.2x. This represented the widest valuation gap since 2021 — driven not by operational deterioration but by public market indifference to a business compounding EPS at 12% p.a. Three consecutive years of double-digit EPS growth at constant rates, 110% cash conversion and accelerating margin expansion were being priced at a near-distressed multiple for the sector. The disconnect was structural, not cyclical: public investors were penalising Intertek for its currency headwinds (-320bps drag on reported growth in FY2025) and the World of Energy drag, while missing that the core Consumer Products and T&amp;A businesses were delivering exceptional returns.</t>
  </si>
  <si>
    <t>2. Portfolio Optionality — The Hidden Value Lever</t>
  </si>
  <si>
    <t>The Consumer Products division generates 29% of group revenue but 48% of operating profit — an implied margin of ~30%, far above the group average of 18.1%. A pure-play Consumer Products / T&amp;A business would rationally trade at 14-15x EBITDA. Meanwhile, World of Energy (21% of revenue, structurally challenged) was a drag on both the margin profile and the blended multiple. The strategic review launched in April 2026 confirmed that Intertek's own board recognised this value gap — proposing a separation into 'Intertek Energy &amp; Infrastructure' and 'Intertek Testing &amp; Assurance'. This optionality existed pre-deal but was unpriced by the market.</t>
  </si>
  <si>
    <t>3. PE-Friendly Financial Profile</t>
  </si>
  <si>
    <t>Intertek presented an ideal LBO profile: net debt of only 1.3x EBITDA (at the bottom of its own 1.3-1.8x target range), meaning substantial additional leverage capacity. Predictable, recurring revenue driven by regulation and compliance mandates. Low CapEx intensity (4-5% of revenue). Pricing power evidenced by consistent margin expansion. A 65% dividend payout that PE can redirect to debt service. The free cash flow yield pre-deal was approximately 5-6%, supporting aggressive debt paydown and creating a clear path to 20%+ IRR at reasonable exit multiples.</t>
  </si>
  <si>
    <t>4. Why Now — The Q1 2026 Timing Window</t>
  </si>
  <si>
    <t>The window was uniquely compelling in Q1 2026 for four reasons. (i) Valuation: the stock had not recovered to its 2021 highs above £60, creating a historically wide discount to intrinsic value. (ii) Strategy: the AAA strategy was entering its third year with proven execution, de-risking the thesis — EQT was buying demonstrated results, not a turnaround. (iii) Activist pressure: PrimeStone Capital, Palliser Capital and Lost Coast Collective were building stakes and pressing for action, signalling to PE buyers that management was vulnerable. (iv) Market: the UK take-private wave (Beazley, Darktrace, etc.) was in full flow, with PE willing to pay premiums for defensive, cash-generative UK businesses with global scale.</t>
  </si>
  <si>
    <t>KEY RISKS &amp; MITIGANTS</t>
  </si>
  <si>
    <t>Currency headwinds (GBP strength) — Medium risk. ~60% of revenue is non-GBP, providing a natural partial hedge. FX drag is a public market optics problem more than an operational one; PE can evaluate on constant-currency economics.
World of Energy structural decline — Medium risk. This division is separable and has confirmed buyer interest (per Intertek's own strategic review). EQT's playbook likely involves a disposal within 2-3 years, which would both accelerate debt paydown and re-rate the remaining business.
Consumer Products concentration — Medium risk. 48% of profit in one division creates earnings vulnerability, but the division's diversification across 50+ countries and regulatory-driven demand provides significant resilience.
Integration risk (£300m M&amp;A in FY2025) — Low-medium risk. Bolt-on acquisitions are part of the AAA strategy and have historically been accretive. No sign of integration stress in FY2025 margins.</t>
  </si>
  <si>
    <t>PART 2 — LIVE DEAL VERDICT  (May 2026)</t>
  </si>
  <si>
    <t>Was EQT Right? Was £60 the Right Price?</t>
  </si>
  <si>
    <t>The Bid History</t>
  </si>
  <si>
    <t>EQT approached Intertek four times: £51.50 → £54.00 → £58.00 → £60.00 (final). Each rejection forced EQT's hand upward by an average of £2.83/share per round. The board ultimately endorsed £60 on May 13, 2026 after significant shareholder pressure from PrimeStone, Palliser and Lost Coast — not because management agreed with the valuation, but because the market was pricing the strategic review alternative at the mid-40s (per Lost Coast's analysis), creating a ~17% spread to EQT's offer that shareholders wanted closed.</t>
  </si>
  <si>
    <t>Our Valuation vs. The Offer</t>
  </si>
  <si>
    <t>DCF Base Case (Gordon Growth): £56.7/share  →  EQT offer at 5.8% premium to DCF
DCF Base Case (Exit Multiple): £59.2/share  →  EQT offer at 1.4% premium to DCF
SOP Bear Case: £49.8/share  →  EQT offer at 20.5% premium
SOP Base Case: £64.2/share  →  EQT offer at 6.6% DISCOUNT
SOP Bull Case: £73.8/share  →  EQT offer at 18.7% DISCOUNT
The offer is at the low end of fair value — roughly in line with DCF but below SOP base case. EQT is paying a fair price for the blended business but is almost certainly aware that the Consumer Products division alone is worth significantly more on a standalone basis.</t>
  </si>
  <si>
    <t>EQT's Likely Playbook</t>
  </si>
  <si>
    <t>Year 1-2: Close deal, stabilise management, pause strategic review formally. Begin marketing World of Energy assets to industrial buyers or infra funds (confirmed buyer interest exists).
Year 2-4: Execute margin expansion in Consumer Products and Corporate Assurance. Target 19.5%+ group EBITDA margin. Deploy bolt-on M&amp;A in high-growth T&amp;A segments (AI assurance, ESG certification, supply chain integrity).
Year 4-6: Exit via re-IPO of 'Intertek Testing &amp; Assurance' or strategic sale to a large industrial conglomerate. At 14x EBITDA on the cleaned-up business (ex-Energy), equity value comfortably exceeds £10bn. Base case: 2.5-3.0x MOIC, ~17-20% IRR over 5-year hold.
The deal is value-accretive for EQT if they execute the separation. It is suboptimal for Intertek shareholders who could have received £63-65/share in a cleaner process.</t>
  </si>
  <si>
    <t>ACTIVIST DYNAMICS — The Catalyst for EQT's Timing</t>
  </si>
  <si>
    <t>Three activist investors played a decisive role in making this deal happen:
PrimeStone Capital (0.5% stake): Publicly challenged the board to engage with EQT in an open letter, questioning the credibility of the strategic review. Their intervention on May 11, 2026 — two days before the board's endorsement — was the tipping point.
Palliser Capital (undisclosed stake, Bloomberg reported): Built its stake quietly as EQT's interest was being disclosed, adding institutional pressure without public confrontation. Classic event-driven hedge fund positioning.
Lost Coast Collective (founded by Matthew Peltz, son of Nelson Peltz): Publicly argued that the strategic review break-up value was priced in the 'mid-40s' by the market, making EQT's £60 offer 'clearly superior.' This framing — comparing certain cash to uncertain execution — was the most damaging argument against the board's standalone strategy.
What This Shows: EQT's timing was not accidental. The activists created the conditions for a successful bid by fracturing board confidence in the standalone path. For a PE fund evaluating a contested public target, activist alignment is as important as financial modelling — it is the mechanism that converts 'approached and rejected' into 'approached and endorsed.'</t>
  </si>
  <si>
    <t>BOTTOM LINE</t>
  </si>
  <si>
    <t>EQT is acquiring a world-class quality compounder at a price that is fair but not generous. The deal works at 17-20% IRR in base case — acceptable but not exceptional for a £9.4bn cheque. The real upside comes from the World of Energy monetisation and Consumer Products re-rating: if executed correctly, this is a 25%+ IRR deal. For Intertek shareholders tendering at £60, they are exchanging 3 years of strategic execution risk for certain cash. That is rational. But the SOP analysis makes clear: the intrinsic value was higher. EQT moved at the right moment, with activist help, to capture the gap between price and value.</t>
  </si>
  <si>
    <t>DUE DILIGENCE FLAGS  |  Intertek Group PLC</t>
  </si>
  <si>
    <t>Issue</t>
  </si>
  <si>
    <t>Detail &amp; Implication</t>
  </si>
  <si>
    <t>Status</t>
  </si>
  <si>
    <t>RED — REQUIRES IMMEDIATE INVESTIGATION</t>
  </si>
  <si>
    <t>World of Energy structural decline</t>
  </si>
  <si>
    <t>Revenue declined in FY2025 despite rising energy capex globally. Is this secular decline (industry shift from O&amp;G to renewables) or cyclical? Critical to exit valuation — a structural decline reduces disposal proceeds and increases EQT's execution risk on separation. Implication: a 1x difference in WoE exit multiple impacts group EV by ~£65m.</t>
  </si>
  <si>
    <t>OPEN — Investigate via client interviews, peer benchmarking</t>
  </si>
  <si>
    <t>Working capital deterioration in FY2025</t>
  </si>
  <si>
    <t>FY2025 operating cash flow of £762m vs FY2024 £535m — the surge is partly a WC release. FY2025 commentary flags lower WC change than FY2024 as a drag. Was FY2024 the anomaly or FY2025? Normalised FCF may be closer to £420-450m than the headline £762m suggests. Implication: overstated cash conversion is a common quality-of-earnings red flag in PE DD.</t>
  </si>
  <si>
    <t>OPEN — Request monthly WC bridge FY2023-FY2025</t>
  </si>
  <si>
    <t>FX concentration and hedging policy</t>
  </si>
  <si>
    <t>FX headwind of -320bps on FY2025 reported growth masks stronger constant-currency performance. However, Intertek does not appear to hedge its translation exposure. With GBP strengthening, ~40% of revenue is exposed. At PE leverage levels (4.5x), FX earnings volatility materially affects covenant compliance and refinancing risk.</t>
  </si>
  <si>
    <t>OPEN — Review treasury policy; stress test at GBP +10%</t>
  </si>
  <si>
    <t>AMBER — MONITOR CLOSELY</t>
  </si>
  <si>
    <t>£300m+ M&amp;A in FY2025 — integration progress</t>
  </si>
  <si>
    <t>Intertek deployed over £300m in acquisitions in FY2025 — the largest annual M&amp;A spend in recent history. These are early-stage integrations. Revenue contribution is included in FY2025 results but profitability trajectory is unknown. EQT is acquiring these assets before they are fully integrated, adding execution risk to the opening years of the hold.</t>
  </si>
  <si>
    <t>AMBER — Request acquisition-level P&amp;Ls and earn-out schedules</t>
  </si>
  <si>
    <t>Consumer Products client concentration</t>
  </si>
  <si>
    <t>Consumer Products is 48% of operating profit. Within this division, exposure to a small number of large global retailers and manufacturers may create concentration risk. Top-10 client revenue as % of Consumer Products revenue is undisclosed. If top-3 clients &gt; 30% of divisional revenue, this is a standard red flag per our DD checklist.</t>
  </si>
  <si>
    <t>AMBER — Request client revenue concentration data</t>
  </si>
  <si>
    <t>AAA margin target achievability (18.5%)</t>
  </si>
  <si>
    <t>Intertek targets 18.5% adjusted operating margin at mid-term. FY2025 is 18.1%. The path to 18.5%+ requires: continued Consumer Products mix shift, operational leverage on fixed cost base, and absence of cost inflation. Post-LBO, management fee extraction and transaction costs (est. £180m) will pressure reported margins in Year 1.</t>
  </si>
  <si>
    <t>AMBER — Model PE cost layer; sensitise margin expansion timeline</t>
  </si>
  <si>
    <t>Debt maturity profile — refinancing risk</t>
  </si>
  <si>
    <t>Intertek's current debt is investment-grade rated (BBB equivalent). Post-LBO, the credit profile changes materially: 4.5x leverage on a HY or leveraged loan structure with significantly higher coupons. Maturity walls at Year 3-5 of the hold create refinancing risk, especially if rates remain elevated. Senior + mezz cost: est. 6.5-10%.</t>
  </si>
  <si>
    <t>AMBER — Request debt maturity schedule; model refi scenario</t>
  </si>
  <si>
    <t>Regulatory / antitrust clearance timeline</t>
  </si>
  <si>
    <t>As a global TIC provider, Intertek operates in regulated markets in 100+ countries. An EQT take-private will require regulatory clearance in multiple jurisdictions (EU, UK FCA/CMA, US, China). TIC market is fragmented (top-5 hold ~9% share) so monopoly risk is low, but process timing adds execution uncertainty to deal close.</t>
  </si>
  <si>
    <t>AMBER — Engage regulatory counsel early; 6-9 month clearance timeline</t>
  </si>
  <si>
    <t>GREEN — CONFIRMED / LOW RISK</t>
  </si>
  <si>
    <t>Cash conversion quality — 110%</t>
  </si>
  <si>
    <t>FY2025 cash conversion of 110% (adj. op. cash flow / adj. op. profit) is confirmed in company filings. Even normalising for WC release, 3-year average ~92% is strong. Non-cash items (D&amp;A, SBC) are modest relative to EBITDA. Low CapEx intensity (4-5% revenue) means FCF converts directly to debt paydown. This is a genuinely high-quality cash generation business — one of the strongest in the TIC sector.</t>
  </si>
  <si>
    <t>GREEN — Confirmed from public filings</t>
  </si>
  <si>
    <t>Leverage headroom at entry — 1.3x ND/EBITDA</t>
  </si>
  <si>
    <t>Pre-deal leverage of 1.3x net debt/EBITDA is at the bottom of Intertek's own stated target range (1.3-1.8x). This is unusually conservative for a business of this quality and provides substantial LBO capacity. Post-transaction leverage of ~4.5x is well-supported by the FCF profile — debt paydown of ~£200m/year in Year 1 is realistic.</t>
  </si>
  <si>
    <t>GREEN — Confirmed</t>
  </si>
  <si>
    <t>Three years of confirmed double-digit EPS growth</t>
  </si>
  <si>
    <t>FY2023: +11.2% EPS at CC | FY2024: +10.5% at CC | FY2025: +10.1% at CC. Twelve-percent compound EPS growth over 3 years is the hallmark of a quality compounder. This is not a cost-cutting story — it is genuine operating leverage on growing revenues. The consistency across three years materially de-risks the investment thesis.</t>
  </si>
  <si>
    <t>GREEN — Confirmed from company disclosures</t>
  </si>
  <si>
    <t>Competitive moat — accreditation and regulatory switching costs</t>
  </si>
  <si>
    <t>TIC services are characterised by extremely high switching costs: clients cannot simply change their accredited lab or certification partner without risking product recalls, regulatory non-compliance and reputational damage. Intertek's 1,000+ lab network across 100 countries creates a geographic moat that cannot be replicated in under a decade. Client retention rates in TIC are typically 90%+.</t>
  </si>
  <si>
    <t>GREEN — Structural advantage, confirmed by TIC industry analysis</t>
  </si>
  <si>
    <t>Key man risk — André Lacroix (CEO)</t>
  </si>
  <si>
    <t>Lacroix has led Intertek since 2015 and architected the AAA strategy. His departure post-LBO would be disruptive. However: (i) the strategy is institutional and well-embedded across the business; (ii) standard PE practice would include a retention package and equity rollover; (iii) divisional management bench is deep. This is monitor-not-red-flag territory for a company of this size and track record.</t>
  </si>
  <si>
    <t>GREEN — Mitigated by retention; flag for PE management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</si>
</sst>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p;\(#,##0.0&quot;p)&quot;;\-"/>
    <numFmt numFmtId="167" formatCode="0.0\x;\(0.0&quot;x)&quot;;\-"/>
    <numFmt numFmtId="168" formatCode="0.000;\(0.000\);\-"/>
    <numFmt numFmtId="169" formatCode="\£#,##0.00;&quot;(£&quot;#,##0.00\);\-"/>
    <numFmt numFmtId="170" formatCode="\(#,##0\);#,##0;\-"/>
  </numFmts>
  <fonts count="36" x14ac:knownFonts="1">
    <font>
      <sz val="11"/>
      <color theme="1"/>
      <name val="Calibri"/>
      <family val="2"/>
      <charset val="1"/>
    </font>
    <font>
      <b/>
      <sz val="20"/>
      <color rgb="FFFFFFFF"/>
      <name val="Calibri"/>
      <charset val="1"/>
    </font>
    <font>
      <sz val="13"/>
      <color rgb="FFC9A84C"/>
      <name val="Calibri"/>
      <charset val="1"/>
    </font>
    <font>
      <i/>
      <sz val="11"/>
      <color rgb="FFFFFFFF"/>
      <name val="Calibri"/>
      <charset val="1"/>
    </font>
    <font>
      <b/>
      <sz val="10"/>
      <color rgb="FFC9A84C"/>
      <name val="Calibri"/>
      <charset val="1"/>
    </font>
    <font>
      <sz val="10"/>
      <color rgb="FFFFFFFF"/>
      <name val="Calibri"/>
      <charset val="1"/>
    </font>
    <font>
      <b/>
      <sz val="11"/>
      <color rgb="FF1F2D4E"/>
      <name val="Calibri"/>
      <charset val="1"/>
    </font>
    <font>
      <b/>
      <sz val="10"/>
      <color rgb="FF1F2D4E"/>
      <name val="Calibri"/>
      <charset val="1"/>
    </font>
    <font>
      <sz val="10"/>
      <color rgb="FF000000"/>
      <name val="Calibri"/>
      <charset val="1"/>
    </font>
    <font>
      <i/>
      <sz val="8"/>
      <color rgb="FF6B7280"/>
      <name val="Calibri"/>
      <charset val="1"/>
    </font>
    <font>
      <b/>
      <sz val="14"/>
      <color rgb="FF1F2D4E"/>
      <name val="Calibri"/>
      <charset val="1"/>
    </font>
    <font>
      <b/>
      <sz val="10"/>
      <color rgb="FFFFFFFF"/>
      <name val="Calibri"/>
      <charset val="1"/>
    </font>
    <font>
      <sz val="9"/>
      <name val="Calibri"/>
      <charset val="1"/>
    </font>
    <font>
      <sz val="9"/>
      <color rgb="FF0000FF"/>
      <name val="Calibri"/>
      <charset val="1"/>
    </font>
    <font>
      <i/>
      <sz val="9"/>
      <color rgb="FF6B7280"/>
      <name val="Calibri"/>
      <charset val="1"/>
    </font>
    <font>
      <b/>
      <sz val="8"/>
      <color rgb="FF006400"/>
      <name val="Calibri"/>
      <charset val="1"/>
    </font>
    <font>
      <b/>
      <sz val="8"/>
      <color rgb="FF8B6914"/>
      <name val="Calibri"/>
      <charset val="1"/>
    </font>
    <font>
      <b/>
      <sz val="8"/>
      <color rgb="FF8B0000"/>
      <name val="Calibri"/>
      <charset val="1"/>
    </font>
    <font>
      <b/>
      <sz val="9"/>
      <color rgb="FFFFFFFF"/>
      <name val="Calibri"/>
      <charset val="1"/>
    </font>
    <font>
      <b/>
      <sz val="9"/>
      <color rgb="FF1F2D4E"/>
      <name val="Calibri"/>
      <charset val="1"/>
    </font>
    <font>
      <b/>
      <sz val="9"/>
      <name val="Calibri"/>
      <charset val="1"/>
    </font>
    <font>
      <b/>
      <sz val="9"/>
      <color rgb="FF0000FF"/>
      <name val="Calibri"/>
      <charset val="1"/>
    </font>
    <font>
      <b/>
      <sz val="13"/>
      <color rgb="FF1F2D4E"/>
      <name val="Calibri"/>
      <charset val="1"/>
    </font>
    <font>
      <b/>
      <sz val="9"/>
      <color rgb="FF000000"/>
      <name val="Calibri"/>
      <charset val="1"/>
    </font>
    <font>
      <sz val="9"/>
      <color rgb="FF000000"/>
      <name val="Calibri"/>
      <charset val="1"/>
    </font>
    <font>
      <sz val="9"/>
      <color rgb="FF6B7280"/>
      <name val="Calibri"/>
      <charset val="1"/>
    </font>
    <font>
      <sz val="9"/>
      <color rgb="FFFFFFFF"/>
      <name val="Calibri"/>
      <charset val="1"/>
    </font>
    <font>
      <b/>
      <sz val="8"/>
      <color rgb="FFFFFFFF"/>
      <name val="Calibri"/>
      <charset val="1"/>
    </font>
    <font>
      <b/>
      <i/>
      <sz val="8"/>
      <name val="Calibri"/>
      <charset val="1"/>
    </font>
    <font>
      <sz val="9"/>
      <color rgb="FF1F2D4E"/>
      <name val="Calibri"/>
      <charset val="1"/>
    </font>
    <font>
      <sz val="10"/>
      <name val="Calibri"/>
      <charset val="1"/>
    </font>
    <font>
      <b/>
      <sz val="12"/>
      <color rgb="FFFFFFFF"/>
      <name val="Calibri"/>
      <charset val="1"/>
    </font>
    <font>
      <sz val="8"/>
      <name val="Calibri"/>
      <charset val="1"/>
    </font>
    <font>
      <b/>
      <sz val="8"/>
      <name val="Calibri"/>
      <charset val="1"/>
    </font>
    <font>
      <b/>
      <sz val="9"/>
      <color rgb="FF8B6914"/>
      <name val="Calibri"/>
      <charset val="1"/>
    </font>
    <font>
      <b/>
      <sz val="9"/>
      <color rgb="FF145A32"/>
      <name val="Calibri"/>
      <charset val="1"/>
    </font>
  </fonts>
  <fills count="13">
    <fill>
      <patternFill patternType="none"/>
    </fill>
    <fill>
      <patternFill patternType="gray125"/>
    </fill>
    <fill>
      <patternFill patternType="solid">
        <fgColor rgb="FF1F2D4E"/>
        <bgColor rgb="FF2C3E50"/>
      </patternFill>
    </fill>
    <fill>
      <patternFill patternType="solid">
        <fgColor rgb="FFF2F4F7"/>
        <bgColor rgb="FFEBF0F8"/>
      </patternFill>
    </fill>
    <fill>
      <patternFill patternType="solid">
        <fgColor rgb="FFE8F5E9"/>
        <bgColor rgb="FFEBF0F8"/>
      </patternFill>
    </fill>
    <fill>
      <patternFill patternType="solid">
        <fgColor rgb="FFFFFFFF"/>
        <bgColor rgb="FFFFF8E1"/>
      </patternFill>
    </fill>
    <fill>
      <patternFill patternType="solid">
        <fgColor rgb="FFFFF8E1"/>
        <bgColor rgb="FFF2F4F7"/>
      </patternFill>
    </fill>
    <fill>
      <patternFill patternType="solid">
        <fgColor rgb="FFFFEBEE"/>
        <bgColor rgb="FFF2F4F7"/>
      </patternFill>
    </fill>
    <fill>
      <patternFill patternType="solid">
        <fgColor rgb="FFEBF0F8"/>
        <bgColor rgb="FFF2F4F7"/>
      </patternFill>
    </fill>
    <fill>
      <patternFill patternType="solid">
        <fgColor rgb="FF145A32"/>
        <bgColor rgb="FF006400"/>
      </patternFill>
    </fill>
    <fill>
      <patternFill patternType="solid">
        <fgColor rgb="FFC0392B"/>
        <bgColor rgb="FFE74C3C"/>
      </patternFill>
    </fill>
    <fill>
      <patternFill patternType="solid">
        <fgColor rgb="FFC9A84C"/>
        <bgColor rgb="FFF39C12"/>
      </patternFill>
    </fill>
    <fill>
      <patternFill patternType="solid">
        <fgColor rgb="FFD9DCE3"/>
        <bgColor rgb="FFEBF0F8"/>
      </patternFill>
    </fill>
  </fills>
  <borders count="2">
    <border>
      <left/>
      <right/>
      <top/>
      <bottom/>
      <diagonal/>
    </border>
    <border>
      <left/>
      <right/>
      <top/>
      <bottom style="medium">
        <color rgb="FF1F2D4E"/>
      </bottom>
      <diagonal/>
    </border>
  </borders>
  <cellStyleXfs count="1">
    <xf numFmtId="0" fontId="0" fillId="0" borderId="0"/>
  </cellStyleXfs>
  <cellXfs count="161">
    <xf numFmtId="0" fontId="0" fillId="0" borderId="0" xfId="0"/>
    <xf numFmtId="0" fontId="18" fillId="2" borderId="0" xfId="0" applyFont="1" applyFill="1" applyAlignment="1">
      <alignment horizontal="left" vertical="center"/>
    </xf>
    <xf numFmtId="0" fontId="11" fillId="2" borderId="0" xfId="0" applyFont="1" applyFill="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left" vertical="center"/>
    </xf>
    <xf numFmtId="0" fontId="6" fillId="0" borderId="1"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horizontal="center" vertical="center"/>
    </xf>
    <xf numFmtId="0" fontId="0" fillId="2" borderId="0" xfId="0" applyFill="1"/>
    <xf numFmtId="0" fontId="10" fillId="0" borderId="0" xfId="0" applyFont="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xf>
    <xf numFmtId="0" fontId="14" fillId="3" borderId="0" xfId="0" applyFont="1" applyFill="1" applyAlignment="1">
      <alignment horizontal="center" vertical="center" wrapText="1"/>
    </xf>
    <xf numFmtId="0" fontId="9" fillId="3" borderId="0" xfId="0" applyFont="1" applyFill="1" applyAlignment="1">
      <alignment horizontal="left" vertical="center" wrapText="1"/>
    </xf>
    <xf numFmtId="0" fontId="15" fillId="4" borderId="0" xfId="0" applyFont="1" applyFill="1" applyAlignment="1">
      <alignment horizontal="center" vertical="center"/>
    </xf>
    <xf numFmtId="0" fontId="12" fillId="5" borderId="0" xfId="0" applyFont="1" applyFill="1" applyAlignment="1">
      <alignment horizontal="left" vertical="center" wrapText="1"/>
    </xf>
    <xf numFmtId="0" fontId="13" fillId="5" borderId="0" xfId="0" applyFont="1" applyFill="1" applyAlignment="1">
      <alignment horizontal="center" vertical="center"/>
    </xf>
    <xf numFmtId="0" fontId="14" fillId="5" borderId="0" xfId="0" applyFont="1" applyFill="1" applyAlignment="1">
      <alignment horizontal="center" vertical="center" wrapText="1"/>
    </xf>
    <xf numFmtId="0" fontId="9" fillId="5" borderId="0" xfId="0" applyFont="1" applyFill="1" applyAlignment="1">
      <alignment horizontal="left" vertical="center" wrapText="1"/>
    </xf>
    <xf numFmtId="0" fontId="16" fillId="6" borderId="0" xfId="0" applyFont="1" applyFill="1" applyAlignment="1">
      <alignment horizontal="center" vertical="center"/>
    </xf>
    <xf numFmtId="0" fontId="17" fillId="7" borderId="0" xfId="0" applyFont="1" applyFill="1" applyAlignment="1">
      <alignment horizontal="center" vertical="center"/>
    </xf>
    <xf numFmtId="0" fontId="18" fillId="2" borderId="0" xfId="0" applyFont="1" applyFill="1" applyAlignment="1">
      <alignment horizontal="left" vertical="center"/>
    </xf>
    <xf numFmtId="0" fontId="20" fillId="3" borderId="0" xfId="0" applyFont="1" applyFill="1" applyAlignment="1">
      <alignment horizontal="left" vertical="center" wrapText="1"/>
    </xf>
    <xf numFmtId="0" fontId="21" fillId="3" borderId="0" xfId="0" applyFont="1" applyFill="1" applyAlignment="1">
      <alignment horizontal="center" vertical="center"/>
    </xf>
    <xf numFmtId="0" fontId="23" fillId="3" borderId="0" xfId="0" applyFont="1" applyFill="1" applyAlignment="1">
      <alignment horizontal="left" vertical="center"/>
    </xf>
    <xf numFmtId="164" fontId="23" fillId="3" borderId="0" xfId="0" applyNumberFormat="1" applyFont="1" applyFill="1" applyAlignment="1">
      <alignment horizontal="right" vertical="center"/>
    </xf>
    <xf numFmtId="0" fontId="24" fillId="5" borderId="0" xfId="0" applyFont="1" applyFill="1" applyAlignment="1">
      <alignment horizontal="left" vertical="center"/>
    </xf>
    <xf numFmtId="165" fontId="25" fillId="5" borderId="0" xfId="0" applyNumberFormat="1" applyFont="1" applyFill="1" applyAlignment="1">
      <alignment horizontal="right" vertical="center"/>
    </xf>
    <xf numFmtId="165" fontId="24" fillId="5" borderId="0" xfId="0" applyNumberFormat="1" applyFont="1" applyFill="1" applyAlignment="1">
      <alignment horizontal="right" vertical="center"/>
    </xf>
    <xf numFmtId="164" fontId="13" fillId="5" borderId="0" xfId="0" applyNumberFormat="1" applyFont="1" applyFill="1" applyAlignment="1">
      <alignment horizontal="right" vertical="center"/>
    </xf>
    <xf numFmtId="0" fontId="24" fillId="3" borderId="0" xfId="0" applyFont="1" applyFill="1" applyAlignment="1">
      <alignment horizontal="left" vertical="center"/>
    </xf>
    <xf numFmtId="164" fontId="24" fillId="3" borderId="0" xfId="0" applyNumberFormat="1" applyFont="1" applyFill="1" applyAlignment="1">
      <alignment horizontal="right" vertical="center"/>
    </xf>
    <xf numFmtId="166" fontId="13" fillId="5" borderId="0" xfId="0" applyNumberFormat="1" applyFont="1" applyFill="1" applyAlignment="1">
      <alignment horizontal="right" vertical="center"/>
    </xf>
    <xf numFmtId="165" fontId="25" fillId="3" borderId="0" xfId="0" applyNumberFormat="1" applyFont="1" applyFill="1" applyAlignment="1">
      <alignment horizontal="right" vertical="center"/>
    </xf>
    <xf numFmtId="165" fontId="24" fillId="3" borderId="0" xfId="0" applyNumberFormat="1" applyFont="1" applyFill="1" applyAlignment="1">
      <alignment horizontal="right" vertical="center"/>
    </xf>
    <xf numFmtId="164" fontId="13" fillId="3" borderId="0" xfId="0" applyNumberFormat="1" applyFont="1" applyFill="1" applyAlignment="1">
      <alignment horizontal="right" vertical="center"/>
    </xf>
    <xf numFmtId="167" fontId="24" fillId="5" borderId="0" xfId="0" applyNumberFormat="1" applyFont="1" applyFill="1" applyAlignment="1">
      <alignment horizontal="right" vertical="center"/>
    </xf>
    <xf numFmtId="165" fontId="13" fillId="3" borderId="0" xfId="0" applyNumberFormat="1" applyFont="1" applyFill="1" applyAlignment="1">
      <alignment horizontal="right" vertical="center"/>
    </xf>
    <xf numFmtId="165" fontId="13" fillId="5" borderId="0" xfId="0" applyNumberFormat="1" applyFont="1" applyFill="1" applyAlignment="1">
      <alignment horizontal="right" vertical="center"/>
    </xf>
    <xf numFmtId="0" fontId="18" fillId="2" borderId="0" xfId="0" applyFont="1" applyFill="1" applyAlignment="1">
      <alignment horizontal="center" vertical="center"/>
    </xf>
    <xf numFmtId="0" fontId="23" fillId="5" borderId="0" xfId="0" applyFont="1" applyFill="1" applyAlignment="1">
      <alignment horizontal="left" vertical="center"/>
    </xf>
    <xf numFmtId="164" fontId="23" fillId="5" borderId="0" xfId="0" applyNumberFormat="1" applyFont="1" applyFill="1" applyAlignment="1">
      <alignment horizontal="right" vertical="center"/>
    </xf>
    <xf numFmtId="164" fontId="24" fillId="5" borderId="0" xfId="0" applyNumberFormat="1" applyFont="1" applyFill="1" applyAlignment="1">
      <alignment horizontal="right" vertical="center"/>
    </xf>
    <xf numFmtId="168" fontId="13" fillId="3" borderId="0" xfId="0" applyNumberFormat="1" applyFont="1" applyFill="1" applyAlignment="1">
      <alignment horizontal="right" vertical="center"/>
    </xf>
    <xf numFmtId="168" fontId="24" fillId="3" borderId="0" xfId="0" applyNumberFormat="1" applyFont="1" applyFill="1" applyAlignment="1">
      <alignment horizontal="right" vertical="center"/>
    </xf>
    <xf numFmtId="167" fontId="13" fillId="3" borderId="0" xfId="0" applyNumberFormat="1" applyFont="1" applyFill="1" applyAlignment="1">
      <alignment horizontal="right" vertical="center"/>
    </xf>
    <xf numFmtId="0" fontId="19" fillId="5" borderId="0" xfId="0" applyFont="1" applyFill="1" applyAlignment="1">
      <alignment horizontal="left" vertical="center"/>
    </xf>
    <xf numFmtId="164" fontId="19" fillId="5" borderId="0" xfId="0" applyNumberFormat="1" applyFont="1" applyFill="1" applyAlignment="1">
      <alignment horizontal="right" vertical="center"/>
    </xf>
    <xf numFmtId="0" fontId="19" fillId="3" borderId="0" xfId="0" applyFont="1" applyFill="1" applyAlignment="1">
      <alignment horizontal="left" vertical="center"/>
    </xf>
    <xf numFmtId="164" fontId="19" fillId="3" borderId="0" xfId="0" applyNumberFormat="1" applyFont="1" applyFill="1" applyAlignment="1">
      <alignment horizontal="right" vertical="center"/>
    </xf>
    <xf numFmtId="169" fontId="19" fillId="3" borderId="0" xfId="0" applyNumberFormat="1" applyFont="1" applyFill="1" applyAlignment="1">
      <alignment horizontal="right" vertical="center"/>
    </xf>
    <xf numFmtId="169" fontId="19" fillId="5" borderId="0" xfId="0" applyNumberFormat="1" applyFont="1" applyFill="1" applyAlignment="1">
      <alignment horizontal="right" vertical="center"/>
    </xf>
    <xf numFmtId="169" fontId="13" fillId="3" borderId="0" xfId="0" applyNumberFormat="1" applyFont="1" applyFill="1" applyAlignment="1">
      <alignment horizontal="right" vertical="center"/>
    </xf>
    <xf numFmtId="0" fontId="18" fillId="9" borderId="0" xfId="0" applyFont="1" applyFill="1" applyAlignment="1">
      <alignment horizontal="center" vertical="center"/>
    </xf>
    <xf numFmtId="0" fontId="18" fillId="10" borderId="0" xfId="0" applyFont="1" applyFill="1" applyAlignment="1">
      <alignment horizontal="center" vertical="center"/>
    </xf>
    <xf numFmtId="0" fontId="12" fillId="3" borderId="0" xfId="0" applyFont="1" applyFill="1" applyAlignment="1">
      <alignment horizontal="left" vertical="center"/>
    </xf>
    <xf numFmtId="0" fontId="26" fillId="3" borderId="0" xfId="0" applyFont="1" applyFill="1" applyAlignment="1">
      <alignment horizontal="center" vertical="center"/>
    </xf>
    <xf numFmtId="0" fontId="12" fillId="5" borderId="0" xfId="0" applyFont="1" applyFill="1" applyAlignment="1">
      <alignment horizontal="left" vertical="center"/>
    </xf>
    <xf numFmtId="0" fontId="24" fillId="5" borderId="0" xfId="0" applyFont="1" applyFill="1" applyAlignment="1">
      <alignment horizontal="center" vertical="center"/>
    </xf>
    <xf numFmtId="0" fontId="24" fillId="3" borderId="0" xfId="0" applyFont="1" applyFill="1" applyAlignment="1">
      <alignment horizontal="center" vertical="center"/>
    </xf>
    <xf numFmtId="0" fontId="20" fillId="0" borderId="0" xfId="0" applyFont="1"/>
    <xf numFmtId="0" fontId="27" fillId="2" borderId="0" xfId="0" applyFont="1" applyFill="1" applyAlignment="1">
      <alignment horizontal="center" vertical="center"/>
    </xf>
    <xf numFmtId="0" fontId="28" fillId="0" borderId="0" xfId="0" applyFont="1"/>
    <xf numFmtId="0" fontId="12" fillId="3" borderId="0" xfId="0" applyFont="1" applyFill="1" applyAlignment="1">
      <alignment horizontal="center" vertical="center"/>
    </xf>
    <xf numFmtId="0" fontId="12" fillId="5" borderId="0" xfId="0" applyFont="1" applyFill="1" applyAlignment="1">
      <alignment horizontal="center" vertical="center"/>
    </xf>
    <xf numFmtId="0" fontId="20" fillId="11" borderId="0" xfId="0" applyFont="1" applyFill="1" applyAlignment="1">
      <alignment horizontal="center" vertical="center"/>
    </xf>
    <xf numFmtId="0" fontId="9" fillId="0" borderId="0" xfId="0" applyFont="1"/>
    <xf numFmtId="0" fontId="18" fillId="2" borderId="0" xfId="0" applyFont="1" applyFill="1" applyAlignment="1">
      <alignment horizontal="center" vertical="center" wrapText="1"/>
    </xf>
    <xf numFmtId="0" fontId="12" fillId="3" borderId="0" xfId="0" applyFont="1" applyFill="1" applyAlignment="1">
      <alignment horizontal="right" vertical="center"/>
    </xf>
    <xf numFmtId="0" fontId="12" fillId="5" borderId="0" xfId="0" applyFont="1" applyFill="1" applyAlignment="1">
      <alignment horizontal="right" vertical="center"/>
    </xf>
    <xf numFmtId="0" fontId="29" fillId="12" borderId="0" xfId="0" applyFont="1" applyFill="1" applyAlignment="1">
      <alignment horizontal="left" vertical="center"/>
    </xf>
    <xf numFmtId="0" fontId="29" fillId="12" borderId="0" xfId="0" applyFont="1" applyFill="1" applyAlignment="1">
      <alignment horizontal="right" vertical="center"/>
    </xf>
    <xf numFmtId="0" fontId="29" fillId="3" borderId="0" xfId="0" applyFont="1" applyFill="1" applyAlignment="1">
      <alignment horizontal="left" vertical="center"/>
    </xf>
    <xf numFmtId="0" fontId="29" fillId="3" borderId="0" xfId="0" applyFont="1" applyFill="1" applyAlignment="1">
      <alignment horizontal="right" vertical="center"/>
    </xf>
    <xf numFmtId="0" fontId="19" fillId="6" borderId="0" xfId="0" applyFont="1" applyFill="1" applyAlignment="1">
      <alignment horizontal="left" vertical="center"/>
    </xf>
    <xf numFmtId="0" fontId="19" fillId="6" borderId="0" xfId="0" applyFont="1" applyFill="1" applyAlignment="1">
      <alignment horizontal="right" vertical="center"/>
    </xf>
    <xf numFmtId="0" fontId="19" fillId="12" borderId="0" xfId="0" applyFont="1" applyFill="1" applyAlignment="1">
      <alignment horizontal="center" vertical="center"/>
    </xf>
    <xf numFmtId="0" fontId="24" fillId="3" borderId="0" xfId="0" applyFont="1" applyFill="1" applyAlignment="1">
      <alignment horizontal="right" vertical="center"/>
    </xf>
    <xf numFmtId="0" fontId="24" fillId="5" borderId="0" xfId="0" applyFont="1" applyFill="1" applyAlignment="1">
      <alignment horizontal="right" vertical="center"/>
    </xf>
    <xf numFmtId="0" fontId="19" fillId="11" borderId="0" xfId="0" applyFont="1" applyFill="1" applyAlignment="1">
      <alignment horizontal="left" vertical="center"/>
    </xf>
    <xf numFmtId="0" fontId="19" fillId="11" borderId="0" xfId="0" applyFont="1" applyFill="1" applyAlignment="1">
      <alignment horizontal="right" vertical="center"/>
    </xf>
    <xf numFmtId="0" fontId="13" fillId="3" borderId="0" xfId="0" applyFont="1" applyFill="1" applyAlignment="1">
      <alignment horizontal="left" vertical="center"/>
    </xf>
    <xf numFmtId="0" fontId="13" fillId="5" borderId="0" xfId="0" applyFont="1" applyFill="1" applyAlignment="1">
      <alignment horizontal="left" vertical="center"/>
    </xf>
    <xf numFmtId="167" fontId="23" fillId="3" borderId="0" xfId="0" applyNumberFormat="1" applyFont="1" applyFill="1" applyAlignment="1">
      <alignment horizontal="right" vertical="center"/>
    </xf>
    <xf numFmtId="0" fontId="21" fillId="3" borderId="0" xfId="0" applyFont="1" applyFill="1" applyAlignment="1">
      <alignment horizontal="left" vertical="center"/>
    </xf>
    <xf numFmtId="164" fontId="21" fillId="3" borderId="0" xfId="0" applyNumberFormat="1" applyFont="1" applyFill="1" applyAlignment="1">
      <alignment horizontal="right" vertical="center"/>
    </xf>
    <xf numFmtId="170" fontId="24" fillId="3" borderId="0" xfId="0" applyNumberFormat="1" applyFont="1" applyFill="1" applyAlignment="1">
      <alignment horizontal="right" vertical="center"/>
    </xf>
    <xf numFmtId="0" fontId="24" fillId="7" borderId="0" xfId="0" applyFont="1" applyFill="1" applyAlignment="1">
      <alignment horizontal="left" vertical="center"/>
    </xf>
    <xf numFmtId="164" fontId="13" fillId="7" borderId="0" xfId="0" applyNumberFormat="1" applyFont="1" applyFill="1" applyAlignment="1">
      <alignment horizontal="right" vertical="center"/>
    </xf>
    <xf numFmtId="164" fontId="24" fillId="7" borderId="0" xfId="0" applyNumberFormat="1" applyFont="1" applyFill="1" applyAlignment="1">
      <alignment horizontal="right" vertical="center"/>
    </xf>
    <xf numFmtId="0" fontId="23" fillId="7" borderId="0" xfId="0" applyFont="1" applyFill="1" applyAlignment="1">
      <alignment horizontal="left" vertical="center"/>
    </xf>
    <xf numFmtId="167" fontId="23" fillId="7" borderId="0" xfId="0" applyNumberFormat="1" applyFont="1" applyFill="1" applyAlignment="1">
      <alignment horizontal="right" vertical="center"/>
    </xf>
    <xf numFmtId="165" fontId="23" fillId="7" borderId="0" xfId="0" applyNumberFormat="1" applyFont="1" applyFill="1" applyAlignment="1">
      <alignment horizontal="right" vertical="center"/>
    </xf>
    <xf numFmtId="165" fontId="23" fillId="3" borderId="0" xfId="0" applyNumberFormat="1" applyFont="1" applyFill="1" applyAlignment="1">
      <alignment horizontal="right" vertical="center"/>
    </xf>
    <xf numFmtId="0" fontId="24" fillId="4" borderId="0" xfId="0" applyFont="1" applyFill="1" applyAlignment="1">
      <alignment horizontal="left" vertical="center"/>
    </xf>
    <xf numFmtId="164" fontId="13" fillId="4" borderId="0" xfId="0" applyNumberFormat="1" applyFont="1" applyFill="1" applyAlignment="1">
      <alignment horizontal="right" vertical="center"/>
    </xf>
    <xf numFmtId="164" fontId="24" fillId="4" borderId="0" xfId="0" applyNumberFormat="1" applyFont="1" applyFill="1" applyAlignment="1">
      <alignment horizontal="right" vertical="center"/>
    </xf>
    <xf numFmtId="0" fontId="23" fillId="4" borderId="0" xfId="0" applyFont="1" applyFill="1" applyAlignment="1">
      <alignment horizontal="left" vertical="center"/>
    </xf>
    <xf numFmtId="167" fontId="23" fillId="4" borderId="0" xfId="0" applyNumberFormat="1" applyFont="1" applyFill="1" applyAlignment="1">
      <alignment horizontal="right" vertical="center"/>
    </xf>
    <xf numFmtId="165" fontId="23" fillId="4" borderId="0" xfId="0" applyNumberFormat="1" applyFont="1" applyFill="1" applyAlignment="1">
      <alignment horizontal="right" vertical="center"/>
    </xf>
    <xf numFmtId="0" fontId="12" fillId="7" borderId="0" xfId="0" applyFont="1" applyFill="1" applyAlignment="1">
      <alignment horizontal="center" vertical="center"/>
    </xf>
    <xf numFmtId="0" fontId="12" fillId="4" borderId="0" xfId="0" applyFont="1" applyFill="1" applyAlignment="1">
      <alignment horizontal="center" vertical="center"/>
    </xf>
    <xf numFmtId="0" fontId="12" fillId="6" borderId="0" xfId="0" applyFont="1" applyFill="1" applyAlignment="1">
      <alignment horizontal="center" vertical="center"/>
    </xf>
    <xf numFmtId="0" fontId="12" fillId="4" borderId="0" xfId="0" applyFont="1" applyFill="1" applyAlignment="1">
      <alignment horizontal="left" vertical="center"/>
    </xf>
    <xf numFmtId="165" fontId="24" fillId="4" borderId="0" xfId="0" applyNumberFormat="1" applyFont="1" applyFill="1" applyAlignment="1">
      <alignment horizontal="right" vertical="center"/>
    </xf>
    <xf numFmtId="167" fontId="24" fillId="4" borderId="0" xfId="0" applyNumberFormat="1" applyFont="1" applyFill="1" applyAlignment="1">
      <alignment horizontal="right" vertical="center"/>
    </xf>
    <xf numFmtId="0" fontId="12" fillId="6" borderId="0" xfId="0" applyFont="1" applyFill="1" applyAlignment="1">
      <alignment horizontal="left" vertical="center"/>
    </xf>
    <xf numFmtId="164" fontId="13" fillId="6" borderId="0" xfId="0" applyNumberFormat="1" applyFont="1" applyFill="1" applyAlignment="1">
      <alignment horizontal="right" vertical="center"/>
    </xf>
    <xf numFmtId="165" fontId="24" fillId="6" borderId="0" xfId="0" applyNumberFormat="1" applyFont="1" applyFill="1" applyAlignment="1">
      <alignment horizontal="right" vertical="center"/>
    </xf>
    <xf numFmtId="164" fontId="24" fillId="6" borderId="0" xfId="0" applyNumberFormat="1" applyFont="1" applyFill="1" applyAlignment="1">
      <alignment horizontal="right" vertical="center"/>
    </xf>
    <xf numFmtId="167" fontId="24" fillId="6" borderId="0" xfId="0" applyNumberFormat="1" applyFont="1" applyFill="1" applyAlignment="1">
      <alignment horizontal="right" vertical="center"/>
    </xf>
    <xf numFmtId="0" fontId="12" fillId="7" borderId="0" xfId="0" applyFont="1" applyFill="1" applyAlignment="1">
      <alignment horizontal="left" vertical="center"/>
    </xf>
    <xf numFmtId="165" fontId="24" fillId="7" borderId="0" xfId="0" applyNumberFormat="1" applyFont="1" applyFill="1" applyAlignment="1">
      <alignment horizontal="right" vertical="center"/>
    </xf>
    <xf numFmtId="167" fontId="24" fillId="7" borderId="0" xfId="0" applyNumberFormat="1" applyFont="1" applyFill="1" applyAlignment="1">
      <alignment horizontal="right" vertical="center"/>
    </xf>
    <xf numFmtId="164" fontId="18" fillId="2" borderId="0" xfId="0" applyNumberFormat="1" applyFont="1" applyFill="1" applyAlignment="1">
      <alignment horizontal="right" vertical="center"/>
    </xf>
    <xf numFmtId="0" fontId="18" fillId="2" borderId="0" xfId="0" applyFont="1" applyFill="1" applyAlignment="1">
      <alignment horizontal="right" vertical="center"/>
    </xf>
    <xf numFmtId="164" fontId="20" fillId="7" borderId="0" xfId="0" applyNumberFormat="1" applyFont="1" applyFill="1" applyAlignment="1">
      <alignment horizontal="right" vertical="center"/>
    </xf>
    <xf numFmtId="164" fontId="20" fillId="4" borderId="0" xfId="0" applyNumberFormat="1" applyFont="1" applyFill="1" applyAlignment="1">
      <alignment horizontal="right" vertical="center"/>
    </xf>
    <xf numFmtId="0" fontId="31" fillId="2" borderId="0" xfId="0" applyFont="1" applyFill="1" applyAlignment="1">
      <alignment horizontal="left" vertical="center" wrapText="1"/>
    </xf>
    <xf numFmtId="0" fontId="11" fillId="2" borderId="0" xfId="0" applyFont="1" applyFill="1" applyAlignment="1">
      <alignment horizontal="left" vertical="center" wrapText="1"/>
    </xf>
    <xf numFmtId="0" fontId="19" fillId="12" borderId="0" xfId="0" applyFont="1" applyFill="1" applyAlignment="1">
      <alignment horizontal="left" vertical="center" wrapText="1"/>
    </xf>
    <xf numFmtId="0" fontId="24" fillId="5" borderId="0" xfId="0" applyFont="1" applyFill="1" applyAlignment="1">
      <alignment horizontal="left" vertical="top" wrapText="1"/>
    </xf>
    <xf numFmtId="0" fontId="7" fillId="11" borderId="0" xfId="0" applyFont="1" applyFill="1" applyAlignment="1">
      <alignment horizontal="left" vertical="center" wrapText="1"/>
    </xf>
    <xf numFmtId="0" fontId="8" fillId="5" borderId="0" xfId="0" applyFont="1" applyFill="1" applyAlignment="1">
      <alignment horizontal="left" vertical="top" wrapText="1"/>
    </xf>
    <xf numFmtId="0" fontId="20" fillId="7" borderId="0" xfId="0" applyFont="1" applyFill="1" applyAlignment="1">
      <alignment horizontal="left" vertical="top" wrapText="1"/>
    </xf>
    <xf numFmtId="0" fontId="32" fillId="7" borderId="0" xfId="0" applyFont="1" applyFill="1" applyAlignment="1">
      <alignment horizontal="left" vertical="top" wrapText="1"/>
    </xf>
    <xf numFmtId="0" fontId="33" fillId="7" borderId="0" xfId="0" applyFont="1" applyFill="1" applyAlignment="1">
      <alignment horizontal="left" vertical="top" wrapText="1"/>
    </xf>
    <xf numFmtId="0" fontId="20" fillId="6" borderId="0" xfId="0" applyFont="1" applyFill="1" applyAlignment="1">
      <alignment horizontal="left" vertical="top" wrapText="1"/>
    </xf>
    <xf numFmtId="0" fontId="32" fillId="6" borderId="0" xfId="0" applyFont="1" applyFill="1" applyAlignment="1">
      <alignment horizontal="left" vertical="top" wrapText="1"/>
    </xf>
    <xf numFmtId="0" fontId="33" fillId="6" borderId="0" xfId="0" applyFont="1" applyFill="1" applyAlignment="1">
      <alignment horizontal="left" vertical="top" wrapText="1"/>
    </xf>
    <xf numFmtId="0" fontId="20" fillId="4" borderId="0" xfId="0" applyFont="1" applyFill="1" applyAlignment="1">
      <alignment horizontal="left" vertical="top" wrapText="1"/>
    </xf>
    <xf numFmtId="0" fontId="32" fillId="4" borderId="0" xfId="0" applyFont="1" applyFill="1" applyAlignment="1">
      <alignment horizontal="left" vertical="top" wrapText="1"/>
    </xf>
    <xf numFmtId="0" fontId="33" fillId="4" borderId="0" xfId="0" applyFont="1" applyFill="1" applyAlignment="1">
      <alignment horizontal="left" vertical="top" wrapText="1"/>
    </xf>
    <xf numFmtId="0" fontId="19" fillId="8" borderId="0" xfId="0" applyFont="1" applyFill="1" applyAlignment="1">
      <alignment horizontal="left" vertical="center"/>
    </xf>
    <xf numFmtId="0" fontId="20" fillId="5" borderId="0" xfId="0" applyFont="1" applyFill="1" applyAlignment="1">
      <alignment horizontal="left" vertical="center" wrapText="1"/>
    </xf>
    <xf numFmtId="0" fontId="9" fillId="3" borderId="0" xfId="0" applyFont="1" applyFill="1" applyAlignment="1">
      <alignment horizontal="left" vertical="center"/>
    </xf>
    <xf numFmtId="0" fontId="9" fillId="5" borderId="0" xfId="0" applyFont="1" applyFill="1" applyAlignment="1">
      <alignment horizontal="left" vertical="center"/>
    </xf>
    <xf numFmtId="0" fontId="12" fillId="5" borderId="0" xfId="0" applyFont="1" applyFill="1" applyAlignment="1">
      <alignment horizontal="left" vertical="center" wrapText="1"/>
    </xf>
    <xf numFmtId="0" fontId="12" fillId="3" borderId="0" xfId="0" applyFont="1" applyFill="1" applyAlignment="1">
      <alignment horizontal="left" vertical="center" wrapText="1"/>
    </xf>
    <xf numFmtId="0" fontId="22"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top" wrapText="1"/>
    </xf>
    <xf numFmtId="0" fontId="9" fillId="0" borderId="0" xfId="0" applyFont="1" applyAlignment="1">
      <alignment vertical="top" wrapText="1"/>
    </xf>
    <xf numFmtId="0" fontId="12" fillId="7" borderId="0" xfId="0" applyFont="1" applyFill="1" applyAlignment="1">
      <alignment horizontal="left" vertical="center"/>
    </xf>
    <xf numFmtId="0" fontId="12" fillId="3" borderId="0" xfId="0" applyFont="1" applyFill="1" applyAlignment="1">
      <alignment horizontal="left" vertical="center"/>
    </xf>
    <xf numFmtId="0" fontId="12" fillId="5" borderId="0" xfId="0" applyFont="1" applyFill="1" applyAlignment="1">
      <alignment horizontal="left" vertical="center"/>
    </xf>
    <xf numFmtId="0" fontId="20" fillId="7" borderId="0" xfId="0" applyFont="1" applyFill="1" applyAlignment="1">
      <alignment horizontal="left" vertical="center"/>
    </xf>
    <xf numFmtId="0" fontId="20" fillId="4" borderId="0" xfId="0" applyFont="1" applyFill="1" applyAlignment="1">
      <alignment horizontal="left" vertical="center"/>
    </xf>
    <xf numFmtId="0" fontId="30" fillId="3" borderId="0" xfId="0" applyFont="1" applyFill="1" applyAlignment="1">
      <alignment horizontal="left" vertical="top" wrapText="1"/>
    </xf>
    <xf numFmtId="0" fontId="19" fillId="7" borderId="0" xfId="0" applyFont="1" applyFill="1" applyAlignment="1">
      <alignment horizontal="left" vertical="center"/>
    </xf>
    <xf numFmtId="0" fontId="34" fillId="6" borderId="0" xfId="0" applyFont="1" applyFill="1" applyAlignment="1">
      <alignment horizontal="left" vertical="center"/>
    </xf>
    <xf numFmtId="0" fontId="35" fillId="4" borderId="0" xfId="0" applyFont="1" applyFill="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B0000"/>
      <rgbColor rgb="FF006400"/>
      <rgbColor rgb="FF000080"/>
      <rgbColor rgb="FF8B6914"/>
      <rgbColor rgb="FF800080"/>
      <rgbColor rgb="FF16A085"/>
      <rgbColor rgb="FFC0C0C0"/>
      <rgbColor rgb="FF808080"/>
      <rgbColor rgb="FF9999FF"/>
      <rgbColor rgb="FF8E44AD"/>
      <rgbColor rgb="FFFFF8E1"/>
      <rgbColor rgb="FFE8F5E9"/>
      <rgbColor rgb="FF660066"/>
      <rgbColor rgb="FFFF8080"/>
      <rgbColor rgb="FF0066CC"/>
      <rgbColor rgb="FFD9DCE3"/>
      <rgbColor rgb="FF000080"/>
      <rgbColor rgb="FFFF00FF"/>
      <rgbColor rgb="FFFFFF00"/>
      <rgbColor rgb="FF00FFFF"/>
      <rgbColor rgb="FF800080"/>
      <rgbColor rgb="FF800000"/>
      <rgbColor rgb="FF2E86AB"/>
      <rgbColor rgb="FF0000FF"/>
      <rgbColor rgb="FF00CCFF"/>
      <rgbColor rgb="FFEBF0F8"/>
      <rgbColor rgb="FFF2F4F7"/>
      <rgbColor rgb="FFFFEBEE"/>
      <rgbColor rgb="FF99CCFF"/>
      <rgbColor rgb="FFFF99CC"/>
      <rgbColor rgb="FFCC99FF"/>
      <rgbColor rgb="FFFFCC99"/>
      <rgbColor rgb="FF3366FF"/>
      <rgbColor rgb="FF33CCCC"/>
      <rgbColor rgb="FF99CC00"/>
      <rgbColor rgb="FFFFCC00"/>
      <rgbColor rgb="FFF39C12"/>
      <rgbColor rgb="FFE74C3C"/>
      <rgbColor rgb="FF6B7280"/>
      <rgbColor rgb="FFC9A84C"/>
      <rgbColor rgb="FF1F2D4E"/>
      <rgbColor rgb="FF27AE60"/>
      <rgbColor rgb="FF145A32"/>
      <rgbColor rgb="FF333300"/>
      <rgbColor rgb="FFC0392B"/>
      <rgbColor rgb="FF993366"/>
      <rgbColor rgb="FF333399"/>
      <rgbColor rgb="FF2C3E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2D4E"/>
  </sheetPr>
  <dimension ref="B1:E34"/>
  <sheetViews>
    <sheetView showGridLines="0" tabSelected="1" zoomScaleNormal="100" workbookViewId="0"/>
  </sheetViews>
  <sheetFormatPr defaultColWidth="8.6640625" defaultRowHeight="14.25" x14ac:dyDescent="0.45"/>
  <cols>
    <col min="1" max="1" width="4" customWidth="1"/>
    <col min="2" max="3" width="30" customWidth="1"/>
    <col min="4" max="5" width="20" customWidth="1"/>
    <col min="6" max="6" width="4" customWidth="1"/>
  </cols>
  <sheetData>
    <row r="1" spans="2:5" ht="7.5" customHeight="1" x14ac:dyDescent="0.45"/>
    <row r="2" spans="2:5" ht="21.75" customHeight="1" x14ac:dyDescent="0.45">
      <c r="B2" s="14" t="s">
        <v>0</v>
      </c>
      <c r="C2" s="14"/>
      <c r="D2" s="14"/>
      <c r="E2" s="14"/>
    </row>
    <row r="3" spans="2:5" ht="21.75" customHeight="1" x14ac:dyDescent="0.45">
      <c r="B3" s="13" t="s">
        <v>1</v>
      </c>
      <c r="C3" s="13"/>
      <c r="D3" s="13"/>
      <c r="E3" s="13"/>
    </row>
    <row r="4" spans="2:5" ht="21.75" customHeight="1" x14ac:dyDescent="0.45">
      <c r="B4" s="12" t="s">
        <v>2</v>
      </c>
      <c r="C4" s="12"/>
      <c r="D4" s="12"/>
      <c r="E4" s="12"/>
    </row>
    <row r="5" spans="2:5" ht="21.75" customHeight="1" x14ac:dyDescent="0.45">
      <c r="B5" s="15"/>
      <c r="C5" s="15"/>
      <c r="D5" s="15"/>
      <c r="E5" s="15"/>
    </row>
    <row r="6" spans="2:5" ht="21.75" customHeight="1" x14ac:dyDescent="0.45">
      <c r="B6" s="11" t="s">
        <v>3</v>
      </c>
      <c r="C6" s="11"/>
      <c r="D6" s="10" t="s">
        <v>4</v>
      </c>
      <c r="E6" s="10"/>
    </row>
    <row r="7" spans="2:5" ht="21.75" customHeight="1" x14ac:dyDescent="0.45">
      <c r="B7" s="11" t="s">
        <v>5</v>
      </c>
      <c r="C7" s="11"/>
      <c r="D7" s="10" t="s">
        <v>6</v>
      </c>
      <c r="E7" s="10"/>
    </row>
    <row r="8" spans="2:5" ht="21.75" customHeight="1" x14ac:dyDescent="0.45">
      <c r="B8" s="11" t="s">
        <v>7</v>
      </c>
      <c r="C8" s="11"/>
      <c r="D8" s="10" t="s">
        <v>8</v>
      </c>
      <c r="E8" s="10"/>
    </row>
    <row r="9" spans="2:5" ht="21.75" customHeight="1" x14ac:dyDescent="0.45">
      <c r="B9" s="11" t="s">
        <v>9</v>
      </c>
      <c r="C9" s="11"/>
      <c r="D9" s="10" t="s">
        <v>10</v>
      </c>
      <c r="E9" s="10"/>
    </row>
    <row r="10" spans="2:5" ht="21.75" customHeight="1" x14ac:dyDescent="0.45">
      <c r="B10" s="11" t="s">
        <v>11</v>
      </c>
      <c r="C10" s="11"/>
      <c r="D10" s="10" t="s">
        <v>12</v>
      </c>
      <c r="E10" s="10"/>
    </row>
    <row r="11" spans="2:5" ht="21.75" customHeight="1" x14ac:dyDescent="0.45">
      <c r="B11" s="11" t="s">
        <v>13</v>
      </c>
      <c r="C11" s="11"/>
      <c r="D11" s="10" t="s">
        <v>14</v>
      </c>
      <c r="E11" s="10"/>
    </row>
    <row r="12" spans="2:5" ht="21.75" customHeight="1" x14ac:dyDescent="0.45">
      <c r="B12" s="11" t="s">
        <v>15</v>
      </c>
      <c r="C12" s="11"/>
      <c r="D12" s="10" t="s">
        <v>16</v>
      </c>
      <c r="E12" s="10"/>
    </row>
    <row r="13" spans="2:5" ht="21.75" customHeight="1" x14ac:dyDescent="0.45">
      <c r="B13" s="11" t="s">
        <v>17</v>
      </c>
      <c r="C13" s="11"/>
      <c r="D13" s="10" t="s">
        <v>18</v>
      </c>
      <c r="E13" s="10"/>
    </row>
    <row r="14" spans="2:5" ht="21.75" customHeight="1" x14ac:dyDescent="0.45">
      <c r="B14" s="9" t="s">
        <v>19</v>
      </c>
      <c r="C14" s="9"/>
      <c r="D14" s="8" t="s">
        <v>20</v>
      </c>
      <c r="E14" s="8"/>
    </row>
    <row r="15" spans="2:5" ht="18" customHeight="1" x14ac:dyDescent="0.45">
      <c r="B15" s="7" t="s">
        <v>21</v>
      </c>
      <c r="C15" s="7"/>
      <c r="D15" s="7"/>
      <c r="E15" s="7"/>
    </row>
    <row r="16" spans="2:5" ht="18" customHeight="1" x14ac:dyDescent="0.45">
      <c r="B16" s="6" t="s">
        <v>22</v>
      </c>
      <c r="C16" s="6"/>
      <c r="D16" s="6"/>
      <c r="E16" s="6"/>
    </row>
    <row r="17" spans="2:5" ht="18" customHeight="1" x14ac:dyDescent="0.45">
      <c r="B17" s="5" t="s">
        <v>23</v>
      </c>
      <c r="C17" s="5"/>
      <c r="D17" s="5"/>
      <c r="E17" s="5"/>
    </row>
    <row r="18" spans="2:5" ht="18" customHeight="1" x14ac:dyDescent="0.45">
      <c r="B18" s="5"/>
      <c r="C18" s="5"/>
      <c r="D18" s="5"/>
      <c r="E18" s="5"/>
    </row>
    <row r="19" spans="2:5" ht="18" customHeight="1" x14ac:dyDescent="0.45">
      <c r="B19" s="6" t="s">
        <v>24</v>
      </c>
      <c r="C19" s="6"/>
      <c r="D19" s="6"/>
      <c r="E19" s="6"/>
    </row>
    <row r="20" spans="2:5" ht="18" customHeight="1" x14ac:dyDescent="0.45">
      <c r="B20" s="5" t="s">
        <v>25</v>
      </c>
      <c r="C20" s="5"/>
      <c r="D20" s="5"/>
      <c r="E20" s="5"/>
    </row>
    <row r="21" spans="2:5" ht="18" customHeight="1" x14ac:dyDescent="0.45">
      <c r="B21" s="5"/>
      <c r="C21" s="5"/>
      <c r="D21" s="5"/>
      <c r="E21" s="5"/>
    </row>
    <row r="22" spans="2:5" ht="18" customHeight="1" x14ac:dyDescent="0.45">
      <c r="B22" s="6" t="s">
        <v>26</v>
      </c>
      <c r="C22" s="6"/>
      <c r="D22" s="6"/>
      <c r="E22" s="6"/>
    </row>
    <row r="23" spans="2:5" ht="18" customHeight="1" x14ac:dyDescent="0.45">
      <c r="B23" s="5" t="s">
        <v>27</v>
      </c>
      <c r="C23" s="5"/>
      <c r="D23" s="5"/>
      <c r="E23" s="5"/>
    </row>
    <row r="24" spans="2:5" ht="18" customHeight="1" x14ac:dyDescent="0.45">
      <c r="B24" s="5"/>
      <c r="C24" s="5"/>
      <c r="D24" s="5"/>
      <c r="E24" s="5"/>
    </row>
    <row r="25" spans="2:5" ht="18" customHeight="1" x14ac:dyDescent="0.45"/>
    <row r="26" spans="2:5" ht="18" customHeight="1" x14ac:dyDescent="0.45"/>
    <row r="27" spans="2:5" ht="18" customHeight="1" x14ac:dyDescent="0.45"/>
    <row r="28" spans="2:5" ht="18" customHeight="1" x14ac:dyDescent="0.45"/>
    <row r="29" spans="2:5" ht="18" customHeight="1" x14ac:dyDescent="0.45"/>
    <row r="30" spans="2:5" ht="18" customHeight="1" x14ac:dyDescent="0.45"/>
    <row r="31" spans="2:5" ht="18" customHeight="1" x14ac:dyDescent="0.45"/>
    <row r="32" spans="2:5" ht="18" customHeight="1" x14ac:dyDescent="0.45"/>
    <row r="33" spans="2:5" ht="36" customHeight="1" x14ac:dyDescent="0.45">
      <c r="B33" s="4" t="s">
        <v>28</v>
      </c>
      <c r="C33" s="4"/>
      <c r="D33" s="4"/>
      <c r="E33" s="4"/>
    </row>
    <row r="34" spans="2:5" ht="18" customHeight="1" x14ac:dyDescent="0.45"/>
  </sheetData>
  <mergeCells count="29">
    <mergeCell ref="B23:E24"/>
    <mergeCell ref="B33:E33"/>
    <mergeCell ref="B16:E16"/>
    <mergeCell ref="B17:E18"/>
    <mergeCell ref="B19:E19"/>
    <mergeCell ref="B20:E21"/>
    <mergeCell ref="B22:E22"/>
    <mergeCell ref="B13:C13"/>
    <mergeCell ref="D13:E13"/>
    <mergeCell ref="B14:C14"/>
    <mergeCell ref="D14:E14"/>
    <mergeCell ref="B15:E15"/>
    <mergeCell ref="B10:C10"/>
    <mergeCell ref="D10:E10"/>
    <mergeCell ref="B11:C11"/>
    <mergeCell ref="D11:E11"/>
    <mergeCell ref="B12:C12"/>
    <mergeCell ref="D12:E12"/>
    <mergeCell ref="B7:C7"/>
    <mergeCell ref="D7:E7"/>
    <mergeCell ref="B8:C8"/>
    <mergeCell ref="D8:E8"/>
    <mergeCell ref="B9:C9"/>
    <mergeCell ref="D9:E9"/>
    <mergeCell ref="B2:E2"/>
    <mergeCell ref="B3:E3"/>
    <mergeCell ref="B4:E4"/>
    <mergeCell ref="B6:C6"/>
    <mergeCell ref="D6:E6"/>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A84C"/>
  </sheetPr>
  <dimension ref="B1:F97"/>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8.6640625" defaultRowHeight="14.25" x14ac:dyDescent="0.45"/>
  <cols>
    <col min="1" max="1" width="3" customWidth="1"/>
    <col min="2" max="2" width="38" customWidth="1"/>
    <col min="3" max="4" width="14" customWidth="1"/>
    <col min="5" max="5" width="50" customWidth="1"/>
    <col min="6" max="6" width="18" customWidth="1"/>
    <col min="7" max="7" width="3" customWidth="1"/>
  </cols>
  <sheetData>
    <row r="1" spans="2:6" ht="27.75" customHeight="1" x14ac:dyDescent="0.45">
      <c r="B1" s="3" t="s">
        <v>29</v>
      </c>
      <c r="C1" s="3"/>
      <c r="D1" s="3"/>
      <c r="E1" s="3"/>
      <c r="F1" s="3"/>
    </row>
    <row r="2" spans="2:6" ht="3.75" customHeight="1" x14ac:dyDescent="0.45"/>
    <row r="3" spans="2:6" ht="19.5" customHeight="1" x14ac:dyDescent="0.45">
      <c r="B3" s="17" t="s">
        <v>30</v>
      </c>
      <c r="C3" s="17" t="s">
        <v>31</v>
      </c>
      <c r="D3" s="17" t="s">
        <v>32</v>
      </c>
      <c r="E3" s="17" t="s">
        <v>33</v>
      </c>
      <c r="F3" s="17" t="s">
        <v>34</v>
      </c>
    </row>
    <row r="4" spans="2:6" ht="21.75" customHeight="1" x14ac:dyDescent="0.45">
      <c r="B4" s="2" t="s">
        <v>35</v>
      </c>
      <c r="C4" s="2"/>
      <c r="D4" s="2"/>
      <c r="E4" s="2"/>
      <c r="F4" s="2"/>
    </row>
    <row r="5" spans="2:6" ht="30" customHeight="1" x14ac:dyDescent="0.45">
      <c r="B5" s="19" t="s">
        <v>36</v>
      </c>
      <c r="C5" s="20" t="s">
        <v>37</v>
      </c>
      <c r="D5" s="21" t="s">
        <v>38</v>
      </c>
      <c r="E5" s="22" t="s">
        <v>39</v>
      </c>
      <c r="F5" s="23" t="s">
        <v>40</v>
      </c>
    </row>
    <row r="6" spans="2:6" ht="30" customHeight="1" x14ac:dyDescent="0.45">
      <c r="B6" s="24" t="s">
        <v>41</v>
      </c>
      <c r="C6" s="25" t="s">
        <v>42</v>
      </c>
      <c r="D6" s="26" t="s">
        <v>38</v>
      </c>
      <c r="E6" s="27" t="s">
        <v>43</v>
      </c>
      <c r="F6" s="23" t="s">
        <v>40</v>
      </c>
    </row>
    <row r="7" spans="2:6" ht="30" customHeight="1" x14ac:dyDescent="0.45">
      <c r="B7" s="19" t="s">
        <v>44</v>
      </c>
      <c r="C7" s="20" t="s">
        <v>45</v>
      </c>
      <c r="D7" s="21" t="s">
        <v>38</v>
      </c>
      <c r="E7" s="22" t="s">
        <v>46</v>
      </c>
      <c r="F7" s="23" t="s">
        <v>40</v>
      </c>
    </row>
    <row r="8" spans="2:6" ht="30" customHeight="1" x14ac:dyDescent="0.45">
      <c r="B8" s="24" t="s">
        <v>47</v>
      </c>
      <c r="C8" s="25" t="s">
        <v>48</v>
      </c>
      <c r="D8" s="26" t="s">
        <v>38</v>
      </c>
      <c r="E8" s="27" t="s">
        <v>49</v>
      </c>
      <c r="F8" s="23" t="s">
        <v>40</v>
      </c>
    </row>
    <row r="9" spans="2:6" ht="30" customHeight="1" x14ac:dyDescent="0.45">
      <c r="B9" s="19" t="s">
        <v>50</v>
      </c>
      <c r="C9" s="20" t="s">
        <v>51</v>
      </c>
      <c r="D9" s="21" t="s">
        <v>52</v>
      </c>
      <c r="E9" s="22" t="s">
        <v>53</v>
      </c>
      <c r="F9" s="23" t="s">
        <v>40</v>
      </c>
    </row>
    <row r="10" spans="2:6" ht="30" customHeight="1" x14ac:dyDescent="0.45">
      <c r="B10" s="24" t="s">
        <v>54</v>
      </c>
      <c r="C10" s="25" t="s">
        <v>51</v>
      </c>
      <c r="D10" s="26" t="s">
        <v>55</v>
      </c>
      <c r="E10" s="27" t="s">
        <v>56</v>
      </c>
      <c r="F10" s="28" t="s">
        <v>57</v>
      </c>
    </row>
    <row r="11" spans="2:6" ht="30" customHeight="1" x14ac:dyDescent="0.45">
      <c r="B11" s="19" t="s">
        <v>58</v>
      </c>
      <c r="C11" s="20" t="s">
        <v>59</v>
      </c>
      <c r="D11" s="21" t="s">
        <v>60</v>
      </c>
      <c r="E11" s="22" t="s">
        <v>61</v>
      </c>
      <c r="F11" s="28" t="s">
        <v>57</v>
      </c>
    </row>
    <row r="12" spans="2:6" ht="30" customHeight="1" x14ac:dyDescent="0.45">
      <c r="B12" s="24" t="s">
        <v>62</v>
      </c>
      <c r="C12" s="25" t="s">
        <v>63</v>
      </c>
      <c r="D12" s="26" t="s">
        <v>64</v>
      </c>
      <c r="E12" s="27" t="s">
        <v>65</v>
      </c>
      <c r="F12" s="28" t="s">
        <v>57</v>
      </c>
    </row>
    <row r="14" spans="2:6" ht="21.75" customHeight="1" x14ac:dyDescent="0.45">
      <c r="B14" s="2" t="s">
        <v>66</v>
      </c>
      <c r="C14" s="2"/>
      <c r="D14" s="2"/>
      <c r="E14" s="2"/>
      <c r="F14" s="2"/>
    </row>
    <row r="15" spans="2:6" ht="30" customHeight="1" x14ac:dyDescent="0.45">
      <c r="B15" s="19" t="s">
        <v>67</v>
      </c>
      <c r="C15" s="20" t="s">
        <v>68</v>
      </c>
      <c r="D15" s="21" t="s">
        <v>38</v>
      </c>
      <c r="E15" s="22" t="s">
        <v>69</v>
      </c>
      <c r="F15" s="23" t="s">
        <v>40</v>
      </c>
    </row>
    <row r="16" spans="2:6" ht="30" customHeight="1" x14ac:dyDescent="0.45">
      <c r="B16" s="24" t="s">
        <v>70</v>
      </c>
      <c r="C16" s="25" t="s">
        <v>71</v>
      </c>
      <c r="D16" s="26" t="s">
        <v>38</v>
      </c>
      <c r="E16" s="27" t="s">
        <v>72</v>
      </c>
      <c r="F16" s="23" t="s">
        <v>40</v>
      </c>
    </row>
    <row r="17" spans="2:6" ht="30" customHeight="1" x14ac:dyDescent="0.45">
      <c r="B17" s="19" t="s">
        <v>73</v>
      </c>
      <c r="C17" s="20" t="s">
        <v>74</v>
      </c>
      <c r="D17" s="21" t="s">
        <v>38</v>
      </c>
      <c r="E17" s="22" t="s">
        <v>46</v>
      </c>
      <c r="F17" s="23" t="s">
        <v>40</v>
      </c>
    </row>
    <row r="18" spans="2:6" ht="30" customHeight="1" x14ac:dyDescent="0.45">
      <c r="B18" s="24" t="s">
        <v>75</v>
      </c>
      <c r="C18" s="25" t="s">
        <v>76</v>
      </c>
      <c r="D18" s="26" t="s">
        <v>77</v>
      </c>
      <c r="E18" s="27" t="s">
        <v>78</v>
      </c>
      <c r="F18" s="23" t="s">
        <v>40</v>
      </c>
    </row>
    <row r="19" spans="2:6" ht="30" customHeight="1" x14ac:dyDescent="0.45">
      <c r="B19" s="19" t="s">
        <v>79</v>
      </c>
      <c r="C19" s="20" t="s">
        <v>80</v>
      </c>
      <c r="D19" s="21" t="s">
        <v>81</v>
      </c>
      <c r="E19" s="22" t="s">
        <v>82</v>
      </c>
      <c r="F19" s="28" t="s">
        <v>57</v>
      </c>
    </row>
    <row r="20" spans="2:6" ht="30" customHeight="1" x14ac:dyDescent="0.45">
      <c r="B20" s="24" t="s">
        <v>83</v>
      </c>
      <c r="C20" s="25" t="s">
        <v>84</v>
      </c>
      <c r="D20" s="26" t="s">
        <v>85</v>
      </c>
      <c r="E20" s="27" t="s">
        <v>86</v>
      </c>
      <c r="F20" s="28" t="s">
        <v>57</v>
      </c>
    </row>
    <row r="22" spans="2:6" ht="21.75" customHeight="1" x14ac:dyDescent="0.45">
      <c r="B22" s="2" t="s">
        <v>87</v>
      </c>
      <c r="C22" s="2"/>
      <c r="D22" s="2"/>
      <c r="E22" s="2"/>
      <c r="F22" s="2"/>
    </row>
    <row r="23" spans="2:6" ht="30" customHeight="1" x14ac:dyDescent="0.45">
      <c r="B23" s="19" t="s">
        <v>88</v>
      </c>
      <c r="C23" s="20" t="s">
        <v>89</v>
      </c>
      <c r="D23" s="21" t="s">
        <v>38</v>
      </c>
      <c r="E23" s="22" t="s">
        <v>90</v>
      </c>
      <c r="F23" s="23" t="s">
        <v>40</v>
      </c>
    </row>
    <row r="24" spans="2:6" ht="30" customHeight="1" x14ac:dyDescent="0.45">
      <c r="B24" s="24" t="s">
        <v>91</v>
      </c>
      <c r="C24" s="25" t="s">
        <v>92</v>
      </c>
      <c r="D24" s="26" t="s">
        <v>93</v>
      </c>
      <c r="E24" s="27" t="s">
        <v>94</v>
      </c>
      <c r="F24" s="28" t="s">
        <v>57</v>
      </c>
    </row>
    <row r="25" spans="2:6" ht="30" customHeight="1" x14ac:dyDescent="0.45">
      <c r="B25" s="19" t="s">
        <v>95</v>
      </c>
      <c r="C25" s="20" t="s">
        <v>96</v>
      </c>
      <c r="D25" s="21" t="s">
        <v>97</v>
      </c>
      <c r="E25" s="22" t="s">
        <v>98</v>
      </c>
      <c r="F25" s="23" t="s">
        <v>40</v>
      </c>
    </row>
    <row r="26" spans="2:6" ht="30" customHeight="1" x14ac:dyDescent="0.45">
      <c r="B26" s="24" t="s">
        <v>99</v>
      </c>
      <c r="C26" s="25" t="s">
        <v>100</v>
      </c>
      <c r="D26" s="26" t="s">
        <v>101</v>
      </c>
      <c r="E26" s="27" t="s">
        <v>102</v>
      </c>
      <c r="F26" s="28" t="s">
        <v>57</v>
      </c>
    </row>
    <row r="27" spans="2:6" ht="30" customHeight="1" x14ac:dyDescent="0.45">
      <c r="B27" s="19" t="s">
        <v>103</v>
      </c>
      <c r="C27" s="20" t="s">
        <v>104</v>
      </c>
      <c r="D27" s="21" t="s">
        <v>105</v>
      </c>
      <c r="E27" s="22" t="s">
        <v>106</v>
      </c>
      <c r="F27" s="29" t="s">
        <v>107</v>
      </c>
    </row>
    <row r="29" spans="2:6" ht="21.75" customHeight="1" x14ac:dyDescent="0.45">
      <c r="B29" s="2" t="s">
        <v>108</v>
      </c>
      <c r="C29" s="2"/>
      <c r="D29" s="2"/>
      <c r="E29" s="2"/>
      <c r="F29" s="2"/>
    </row>
    <row r="30" spans="2:6" ht="30" customHeight="1" x14ac:dyDescent="0.45">
      <c r="B30" s="19" t="s">
        <v>109</v>
      </c>
      <c r="C30" s="20" t="s">
        <v>96</v>
      </c>
      <c r="D30" s="21" t="s">
        <v>97</v>
      </c>
      <c r="E30" s="22" t="s">
        <v>110</v>
      </c>
      <c r="F30" s="23" t="s">
        <v>40</v>
      </c>
    </row>
    <row r="31" spans="2:6" ht="30" customHeight="1" x14ac:dyDescent="0.45">
      <c r="B31" s="24" t="s">
        <v>111</v>
      </c>
      <c r="C31" s="25" t="s">
        <v>112</v>
      </c>
      <c r="D31" s="26" t="s">
        <v>113</v>
      </c>
      <c r="E31" s="27" t="s">
        <v>114</v>
      </c>
      <c r="F31" s="23" t="s">
        <v>40</v>
      </c>
    </row>
    <row r="32" spans="2:6" ht="30" customHeight="1" x14ac:dyDescent="0.45">
      <c r="B32" s="19" t="s">
        <v>115</v>
      </c>
      <c r="C32" s="20" t="s">
        <v>116</v>
      </c>
      <c r="D32" s="21" t="s">
        <v>117</v>
      </c>
      <c r="E32" s="22" t="s">
        <v>118</v>
      </c>
      <c r="F32" s="28" t="s">
        <v>57</v>
      </c>
    </row>
    <row r="33" spans="2:6" ht="30" customHeight="1" x14ac:dyDescent="0.45">
      <c r="B33" s="24" t="s">
        <v>119</v>
      </c>
      <c r="C33" s="25" t="s">
        <v>120</v>
      </c>
      <c r="D33" s="26" t="s">
        <v>121</v>
      </c>
      <c r="E33" s="27" t="s">
        <v>122</v>
      </c>
      <c r="F33" s="28" t="s">
        <v>57</v>
      </c>
    </row>
    <row r="34" spans="2:6" ht="30" customHeight="1" x14ac:dyDescent="0.45">
      <c r="B34" s="19" t="s">
        <v>123</v>
      </c>
      <c r="C34" s="20" t="s">
        <v>124</v>
      </c>
      <c r="D34" s="21" t="s">
        <v>125</v>
      </c>
      <c r="E34" s="22" t="s">
        <v>126</v>
      </c>
      <c r="F34" s="28" t="s">
        <v>57</v>
      </c>
    </row>
    <row r="35" spans="2:6" ht="30" customHeight="1" x14ac:dyDescent="0.45">
      <c r="B35" s="24" t="s">
        <v>127</v>
      </c>
      <c r="C35" s="25" t="s">
        <v>128</v>
      </c>
      <c r="D35" s="26" t="s">
        <v>129</v>
      </c>
      <c r="E35" s="27" t="s">
        <v>130</v>
      </c>
      <c r="F35" s="23" t="s">
        <v>40</v>
      </c>
    </row>
    <row r="36" spans="2:6" ht="30" customHeight="1" x14ac:dyDescent="0.45">
      <c r="B36" s="19" t="s">
        <v>131</v>
      </c>
      <c r="C36" s="20" t="s">
        <v>132</v>
      </c>
      <c r="D36" s="21" t="s">
        <v>133</v>
      </c>
      <c r="E36" s="22" t="s">
        <v>134</v>
      </c>
      <c r="F36" s="28" t="s">
        <v>57</v>
      </c>
    </row>
    <row r="37" spans="2:6" ht="30" customHeight="1" x14ac:dyDescent="0.45">
      <c r="B37" s="24" t="s">
        <v>135</v>
      </c>
      <c r="C37" s="25" t="s">
        <v>136</v>
      </c>
      <c r="D37" s="26" t="s">
        <v>137</v>
      </c>
      <c r="E37" s="27" t="s">
        <v>138</v>
      </c>
      <c r="F37" s="23" t="s">
        <v>40</v>
      </c>
    </row>
    <row r="38" spans="2:6" ht="30" customHeight="1" x14ac:dyDescent="0.45">
      <c r="B38" s="19" t="s">
        <v>139</v>
      </c>
      <c r="C38" s="20" t="s">
        <v>140</v>
      </c>
      <c r="D38" s="21" t="s">
        <v>141</v>
      </c>
      <c r="E38" s="22" t="s">
        <v>142</v>
      </c>
      <c r="F38" s="23" t="s">
        <v>40</v>
      </c>
    </row>
    <row r="39" spans="2:6" ht="30" customHeight="1" x14ac:dyDescent="0.45">
      <c r="B39" s="24" t="s">
        <v>143</v>
      </c>
      <c r="C39" s="25" t="s">
        <v>144</v>
      </c>
      <c r="D39" s="26" t="s">
        <v>145</v>
      </c>
      <c r="E39" s="27" t="s">
        <v>146</v>
      </c>
      <c r="F39" s="28" t="s">
        <v>57</v>
      </c>
    </row>
    <row r="40" spans="2:6" ht="19.5" customHeight="1" x14ac:dyDescent="0.45">
      <c r="B40" s="1" t="s">
        <v>147</v>
      </c>
      <c r="C40" s="1"/>
      <c r="D40" s="1"/>
      <c r="E40" s="1"/>
      <c r="F40" s="1"/>
    </row>
    <row r="41" spans="2:6" ht="18" customHeight="1" x14ac:dyDescent="0.45">
      <c r="B41" s="142" t="s">
        <v>148</v>
      </c>
      <c r="C41" s="142"/>
      <c r="D41" s="142"/>
      <c r="E41" s="142"/>
      <c r="F41" s="142"/>
    </row>
    <row r="42" spans="2:6" ht="25.5" customHeight="1" x14ac:dyDescent="0.45">
      <c r="B42" s="19" t="s">
        <v>149</v>
      </c>
      <c r="C42" s="20" t="s">
        <v>150</v>
      </c>
      <c r="D42" s="22" t="s">
        <v>151</v>
      </c>
      <c r="E42" s="22" t="s">
        <v>152</v>
      </c>
      <c r="F42" s="23" t="s">
        <v>40</v>
      </c>
    </row>
    <row r="43" spans="2:6" ht="25.5" customHeight="1" x14ac:dyDescent="0.45">
      <c r="B43" s="24" t="s">
        <v>153</v>
      </c>
      <c r="C43" s="25" t="s">
        <v>154</v>
      </c>
      <c r="D43" s="27" t="s">
        <v>155</v>
      </c>
      <c r="E43" s="27" t="s">
        <v>156</v>
      </c>
      <c r="F43" s="23" t="s">
        <v>40</v>
      </c>
    </row>
    <row r="44" spans="2:6" ht="25.5" customHeight="1" x14ac:dyDescent="0.45">
      <c r="B44" s="19" t="s">
        <v>157</v>
      </c>
      <c r="C44" s="20" t="s">
        <v>116</v>
      </c>
      <c r="D44" s="22" t="s">
        <v>158</v>
      </c>
      <c r="E44" s="22" t="s">
        <v>159</v>
      </c>
      <c r="F44" s="28" t="s">
        <v>57</v>
      </c>
    </row>
    <row r="45" spans="2:6" ht="25.5" customHeight="1" x14ac:dyDescent="0.45">
      <c r="B45" s="143" t="s">
        <v>160</v>
      </c>
      <c r="C45" s="143"/>
      <c r="D45" s="143"/>
      <c r="E45" s="143"/>
      <c r="F45" s="143"/>
    </row>
    <row r="46" spans="2:6" ht="18" customHeight="1" x14ac:dyDescent="0.45">
      <c r="B46" s="142" t="s">
        <v>161</v>
      </c>
      <c r="C46" s="142"/>
      <c r="D46" s="142"/>
      <c r="E46" s="142"/>
      <c r="F46" s="142"/>
    </row>
    <row r="47" spans="2:6" ht="25.5" customHeight="1" x14ac:dyDescent="0.45">
      <c r="B47" s="19" t="s">
        <v>162</v>
      </c>
      <c r="C47" s="20" t="s">
        <v>163</v>
      </c>
      <c r="D47" s="22" t="s">
        <v>164</v>
      </c>
      <c r="E47" s="22" t="s">
        <v>165</v>
      </c>
      <c r="F47" s="28" t="s">
        <v>57</v>
      </c>
    </row>
    <row r="48" spans="2:6" ht="25.5" customHeight="1" x14ac:dyDescent="0.45">
      <c r="B48" s="24" t="s">
        <v>166</v>
      </c>
      <c r="C48" s="25" t="s">
        <v>167</v>
      </c>
      <c r="D48" s="27" t="s">
        <v>168</v>
      </c>
      <c r="E48" s="27" t="s">
        <v>169</v>
      </c>
      <c r="F48" s="23" t="s">
        <v>40</v>
      </c>
    </row>
    <row r="49" spans="2:6" ht="25.5" customHeight="1" x14ac:dyDescent="0.45">
      <c r="B49" s="31" t="s">
        <v>170</v>
      </c>
      <c r="C49" s="32" t="s">
        <v>171</v>
      </c>
      <c r="D49" s="22" t="s">
        <v>172</v>
      </c>
      <c r="E49" s="22" t="s">
        <v>173</v>
      </c>
      <c r="F49" s="28" t="s">
        <v>57</v>
      </c>
    </row>
    <row r="50" spans="2:6" ht="18" customHeight="1" x14ac:dyDescent="0.45">
      <c r="B50" s="142" t="s">
        <v>174</v>
      </c>
      <c r="C50" s="142"/>
      <c r="D50" s="142"/>
      <c r="E50" s="142"/>
      <c r="F50" s="142"/>
    </row>
    <row r="51" spans="2:6" ht="25.5" customHeight="1" x14ac:dyDescent="0.45">
      <c r="B51" s="24" t="s">
        <v>175</v>
      </c>
      <c r="C51" s="25" t="s">
        <v>136</v>
      </c>
      <c r="D51" s="27" t="s">
        <v>176</v>
      </c>
      <c r="E51" s="27" t="s">
        <v>177</v>
      </c>
      <c r="F51" s="28" t="s">
        <v>57</v>
      </c>
    </row>
    <row r="52" spans="2:6" ht="25.5" customHeight="1" x14ac:dyDescent="0.45">
      <c r="B52" s="19" t="s">
        <v>178</v>
      </c>
      <c r="C52" s="20" t="s">
        <v>140</v>
      </c>
      <c r="D52" s="22" t="s">
        <v>179</v>
      </c>
      <c r="E52" s="22" t="s">
        <v>180</v>
      </c>
      <c r="F52" s="28" t="s">
        <v>57</v>
      </c>
    </row>
    <row r="53" spans="2:6" ht="18" customHeight="1" x14ac:dyDescent="0.45">
      <c r="B53" s="142" t="s">
        <v>181</v>
      </c>
      <c r="C53" s="142"/>
      <c r="D53" s="142"/>
      <c r="E53" s="142"/>
      <c r="F53" s="142"/>
    </row>
    <row r="54" spans="2:6" ht="27.75" customHeight="1" x14ac:dyDescent="0.45">
      <c r="B54" s="2" t="s">
        <v>182</v>
      </c>
      <c r="C54" s="2"/>
      <c r="D54" s="2"/>
      <c r="E54" s="2"/>
      <c r="F54" s="23" t="s">
        <v>40</v>
      </c>
    </row>
    <row r="55" spans="2:6" ht="18" customHeight="1" x14ac:dyDescent="0.45">
      <c r="B55" s="144" t="s">
        <v>183</v>
      </c>
      <c r="C55" s="144"/>
      <c r="D55" s="144"/>
      <c r="E55" s="144"/>
      <c r="F55" s="144"/>
    </row>
    <row r="56" spans="2:6" ht="18" customHeight="1" x14ac:dyDescent="0.45">
      <c r="B56" s="145" t="s">
        <v>184</v>
      </c>
      <c r="C56" s="145"/>
      <c r="D56" s="145"/>
      <c r="E56" s="145"/>
      <c r="F56" s="145"/>
    </row>
    <row r="57" spans="2:6" ht="30" customHeight="1" x14ac:dyDescent="0.45"/>
    <row r="58" spans="2:6" ht="30" customHeight="1" x14ac:dyDescent="0.45"/>
    <row r="59" spans="2:6" ht="30" customHeight="1" x14ac:dyDescent="0.45">
      <c r="B59" s="18" t="s">
        <v>185</v>
      </c>
    </row>
    <row r="60" spans="2:6" ht="15" customHeight="1" x14ac:dyDescent="0.45">
      <c r="B60" s="19" t="s">
        <v>186</v>
      </c>
      <c r="C60" s="20" t="s">
        <v>187</v>
      </c>
      <c r="D60" s="21" t="s">
        <v>188</v>
      </c>
      <c r="E60" s="22" t="s">
        <v>189</v>
      </c>
      <c r="F60" s="28" t="s">
        <v>57</v>
      </c>
    </row>
    <row r="61" spans="2:6" ht="21.75" customHeight="1" x14ac:dyDescent="0.45">
      <c r="B61" s="146" t="s">
        <v>190</v>
      </c>
      <c r="C61" s="146"/>
      <c r="D61" s="146"/>
      <c r="E61" s="146"/>
      <c r="F61" s="146"/>
    </row>
    <row r="62" spans="2:6" ht="30" customHeight="1" x14ac:dyDescent="0.45"/>
    <row r="63" spans="2:6" ht="30" customHeight="1" x14ac:dyDescent="0.45">
      <c r="B63" s="18" t="s">
        <v>191</v>
      </c>
    </row>
    <row r="64" spans="2:6" ht="30" customHeight="1" x14ac:dyDescent="0.45">
      <c r="B64" s="19" t="s">
        <v>192</v>
      </c>
      <c r="C64" s="20" t="s">
        <v>193</v>
      </c>
      <c r="D64" s="21" t="s">
        <v>194</v>
      </c>
      <c r="E64" s="22" t="s">
        <v>195</v>
      </c>
      <c r="F64" s="23" t="s">
        <v>40</v>
      </c>
    </row>
    <row r="65" spans="2:6" ht="30" customHeight="1" x14ac:dyDescent="0.45">
      <c r="B65" s="24" t="s">
        <v>196</v>
      </c>
      <c r="C65" s="25" t="s">
        <v>197</v>
      </c>
      <c r="D65" s="26" t="s">
        <v>198</v>
      </c>
      <c r="E65" s="27" t="s">
        <v>199</v>
      </c>
      <c r="F65" s="28" t="s">
        <v>57</v>
      </c>
    </row>
    <row r="66" spans="2:6" ht="30" customHeight="1" x14ac:dyDescent="0.45">
      <c r="B66" s="19" t="s">
        <v>200</v>
      </c>
      <c r="C66" s="20" t="s">
        <v>201</v>
      </c>
      <c r="D66" s="21" t="s">
        <v>202</v>
      </c>
      <c r="E66" s="22" t="s">
        <v>203</v>
      </c>
      <c r="F66" s="28" t="s">
        <v>57</v>
      </c>
    </row>
    <row r="67" spans="2:6" ht="30" customHeight="1" x14ac:dyDescent="0.45">
      <c r="B67" s="24" t="s">
        <v>204</v>
      </c>
      <c r="C67" s="25" t="s">
        <v>205</v>
      </c>
      <c r="D67" s="26" t="s">
        <v>206</v>
      </c>
      <c r="E67" s="27" t="s">
        <v>207</v>
      </c>
      <c r="F67" s="28" t="s">
        <v>57</v>
      </c>
    </row>
    <row r="68" spans="2:6" ht="30" customHeight="1" x14ac:dyDescent="0.45">
      <c r="B68" s="19" t="s">
        <v>208</v>
      </c>
      <c r="C68" s="20" t="s">
        <v>209</v>
      </c>
      <c r="D68" s="21" t="s">
        <v>210</v>
      </c>
      <c r="E68" s="22" t="s">
        <v>211</v>
      </c>
      <c r="F68" s="28" t="s">
        <v>57</v>
      </c>
    </row>
    <row r="69" spans="2:6" ht="30" customHeight="1" x14ac:dyDescent="0.45">
      <c r="B69" s="24" t="s">
        <v>212</v>
      </c>
      <c r="C69" s="25" t="s">
        <v>213</v>
      </c>
      <c r="D69" s="26" t="s">
        <v>214</v>
      </c>
      <c r="E69" s="27" t="s">
        <v>215</v>
      </c>
      <c r="F69" s="28" t="s">
        <v>57</v>
      </c>
    </row>
    <row r="70" spans="2:6" ht="30" customHeight="1" x14ac:dyDescent="0.45">
      <c r="B70" s="19" t="s">
        <v>216</v>
      </c>
      <c r="C70" s="20" t="s">
        <v>217</v>
      </c>
      <c r="D70" s="21" t="s">
        <v>218</v>
      </c>
      <c r="E70" s="22" t="s">
        <v>219</v>
      </c>
      <c r="F70" s="28" t="s">
        <v>57</v>
      </c>
    </row>
    <row r="71" spans="2:6" ht="15" customHeight="1" x14ac:dyDescent="0.45">
      <c r="B71" s="24" t="s">
        <v>220</v>
      </c>
      <c r="C71" s="25" t="s">
        <v>221</v>
      </c>
      <c r="D71" s="26" t="s">
        <v>222</v>
      </c>
      <c r="E71" s="27" t="s">
        <v>223</v>
      </c>
      <c r="F71" s="28" t="s">
        <v>57</v>
      </c>
    </row>
    <row r="72" spans="2:6" ht="21.75" customHeight="1" x14ac:dyDescent="0.45">
      <c r="B72" s="147" t="s">
        <v>224</v>
      </c>
      <c r="C72" s="147"/>
      <c r="D72" s="147"/>
      <c r="E72" s="147"/>
      <c r="F72" s="147"/>
    </row>
    <row r="73" spans="2:6" ht="30" customHeight="1" x14ac:dyDescent="0.45">
      <c r="B73" s="24" t="s">
        <v>225</v>
      </c>
      <c r="C73" s="25" t="s">
        <v>226</v>
      </c>
      <c r="D73" s="26" t="s">
        <v>227</v>
      </c>
      <c r="E73" s="27" t="s">
        <v>228</v>
      </c>
      <c r="F73" s="28" t="s">
        <v>57</v>
      </c>
    </row>
    <row r="74" spans="2:6" ht="30" customHeight="1" x14ac:dyDescent="0.45">
      <c r="B74" s="19" t="s">
        <v>229</v>
      </c>
      <c r="C74" s="20" t="s">
        <v>230</v>
      </c>
      <c r="D74" s="21" t="s">
        <v>231</v>
      </c>
      <c r="E74" s="22" t="s">
        <v>232</v>
      </c>
      <c r="F74" s="28" t="s">
        <v>57</v>
      </c>
    </row>
    <row r="75" spans="2:6" ht="30" customHeight="1" x14ac:dyDescent="0.45">
      <c r="B75" s="24" t="s">
        <v>233</v>
      </c>
      <c r="C75" s="25" t="s">
        <v>234</v>
      </c>
      <c r="D75" s="26" t="s">
        <v>235</v>
      </c>
      <c r="E75" s="27" t="s">
        <v>236</v>
      </c>
      <c r="F75" s="29" t="s">
        <v>107</v>
      </c>
    </row>
    <row r="76" spans="2:6" ht="30" customHeight="1" x14ac:dyDescent="0.45">
      <c r="B76" s="19" t="s">
        <v>237</v>
      </c>
      <c r="C76" s="20" t="s">
        <v>238</v>
      </c>
      <c r="D76" s="21" t="s">
        <v>235</v>
      </c>
      <c r="E76" s="22" t="s">
        <v>239</v>
      </c>
      <c r="F76" s="28" t="s">
        <v>57</v>
      </c>
    </row>
    <row r="77" spans="2:6" ht="30" customHeight="1" x14ac:dyDescent="0.45">
      <c r="B77" s="24" t="s">
        <v>240</v>
      </c>
      <c r="C77" s="25" t="s">
        <v>241</v>
      </c>
      <c r="D77" s="26" t="s">
        <v>235</v>
      </c>
      <c r="E77" s="27" t="s">
        <v>242</v>
      </c>
      <c r="F77" s="28" t="s">
        <v>57</v>
      </c>
    </row>
    <row r="78" spans="2:6" ht="30" customHeight="1" x14ac:dyDescent="0.45"/>
    <row r="79" spans="2:6" ht="30" customHeight="1" x14ac:dyDescent="0.45">
      <c r="B79" s="18" t="s">
        <v>243</v>
      </c>
    </row>
    <row r="80" spans="2:6" ht="15" customHeight="1" x14ac:dyDescent="0.45">
      <c r="B80" s="19" t="s">
        <v>244</v>
      </c>
      <c r="C80" s="20" t="s">
        <v>245</v>
      </c>
      <c r="D80" s="21" t="s">
        <v>246</v>
      </c>
      <c r="E80" s="22" t="s">
        <v>247</v>
      </c>
      <c r="F80" s="23" t="s">
        <v>40</v>
      </c>
    </row>
    <row r="81" spans="2:6" ht="15" customHeight="1" x14ac:dyDescent="0.45">
      <c r="B81" s="24" t="s">
        <v>248</v>
      </c>
      <c r="C81" s="25" t="s">
        <v>249</v>
      </c>
      <c r="D81" s="26" t="s">
        <v>246</v>
      </c>
      <c r="E81" s="27" t="s">
        <v>250</v>
      </c>
      <c r="F81" s="23" t="s">
        <v>40</v>
      </c>
    </row>
    <row r="82" spans="2:6" ht="15" customHeight="1" x14ac:dyDescent="0.45">
      <c r="B82" s="19" t="s">
        <v>251</v>
      </c>
      <c r="C82" s="20" t="s">
        <v>252</v>
      </c>
      <c r="D82" s="21" t="s">
        <v>253</v>
      </c>
      <c r="E82" s="22" t="s">
        <v>254</v>
      </c>
      <c r="F82" s="28" t="s">
        <v>57</v>
      </c>
    </row>
    <row r="83" spans="2:6" ht="15" customHeight="1" x14ac:dyDescent="0.45">
      <c r="B83" s="24" t="s">
        <v>255</v>
      </c>
      <c r="C83" s="25" t="s">
        <v>256</v>
      </c>
      <c r="D83" s="26" t="s">
        <v>257</v>
      </c>
      <c r="E83" s="27" t="s">
        <v>258</v>
      </c>
      <c r="F83" s="28" t="s">
        <v>57</v>
      </c>
    </row>
    <row r="84" spans="2:6" ht="15" customHeight="1" x14ac:dyDescent="0.45">
      <c r="B84" s="19" t="s">
        <v>259</v>
      </c>
      <c r="C84" s="20" t="s">
        <v>260</v>
      </c>
      <c r="D84" s="21" t="s">
        <v>246</v>
      </c>
      <c r="E84" s="22" t="s">
        <v>261</v>
      </c>
      <c r="F84" s="28" t="s">
        <v>57</v>
      </c>
    </row>
    <row r="85" spans="2:6" ht="15" customHeight="1" x14ac:dyDescent="0.45">
      <c r="B85" s="24" t="s">
        <v>262</v>
      </c>
      <c r="C85" s="25" t="s">
        <v>263</v>
      </c>
      <c r="D85" s="26" t="s">
        <v>264</v>
      </c>
      <c r="E85" s="27" t="s">
        <v>265</v>
      </c>
      <c r="F85" s="29" t="s">
        <v>107</v>
      </c>
    </row>
    <row r="86" spans="2:6" ht="15" customHeight="1" x14ac:dyDescent="0.45">
      <c r="B86" s="19" t="s">
        <v>266</v>
      </c>
      <c r="C86" s="20" t="s">
        <v>267</v>
      </c>
      <c r="D86" s="21" t="s">
        <v>268</v>
      </c>
      <c r="E86" s="22" t="s">
        <v>269</v>
      </c>
      <c r="F86" s="29" t="s">
        <v>107</v>
      </c>
    </row>
    <row r="87" spans="2:6" ht="15" customHeight="1" x14ac:dyDescent="0.45">
      <c r="B87" s="24" t="s">
        <v>270</v>
      </c>
      <c r="C87" s="25" t="s">
        <v>271</v>
      </c>
      <c r="D87" s="26" t="s">
        <v>272</v>
      </c>
      <c r="E87" s="27" t="s">
        <v>273</v>
      </c>
      <c r="F87" s="28" t="s">
        <v>57</v>
      </c>
    </row>
    <row r="88" spans="2:6" ht="15" customHeight="1" x14ac:dyDescent="0.45">
      <c r="B88" s="19" t="s">
        <v>274</v>
      </c>
      <c r="C88" s="20" t="s">
        <v>275</v>
      </c>
      <c r="D88" s="21" t="s">
        <v>276</v>
      </c>
      <c r="E88" s="22" t="s">
        <v>277</v>
      </c>
      <c r="F88" s="28" t="s">
        <v>57</v>
      </c>
    </row>
    <row r="90" spans="2:6" ht="15" customHeight="1" x14ac:dyDescent="0.45">
      <c r="B90" s="18" t="s">
        <v>278</v>
      </c>
    </row>
    <row r="91" spans="2:6" ht="15" customHeight="1" x14ac:dyDescent="0.45">
      <c r="B91" s="19" t="s">
        <v>279</v>
      </c>
      <c r="C91" s="20" t="s">
        <v>280</v>
      </c>
      <c r="D91" s="21" t="s">
        <v>235</v>
      </c>
      <c r="E91" s="22" t="s">
        <v>281</v>
      </c>
      <c r="F91" s="23" t="s">
        <v>40</v>
      </c>
    </row>
    <row r="92" spans="2:6" ht="15" customHeight="1" x14ac:dyDescent="0.45">
      <c r="B92" s="24" t="s">
        <v>282</v>
      </c>
      <c r="C92" s="25" t="s">
        <v>283</v>
      </c>
      <c r="D92" s="26" t="s">
        <v>235</v>
      </c>
      <c r="E92" s="27" t="s">
        <v>284</v>
      </c>
      <c r="F92" s="23" t="s">
        <v>40</v>
      </c>
    </row>
    <row r="93" spans="2:6" ht="15" customHeight="1" x14ac:dyDescent="0.45">
      <c r="B93" s="19" t="s">
        <v>285</v>
      </c>
      <c r="C93" s="20" t="s">
        <v>286</v>
      </c>
      <c r="D93" s="21" t="s">
        <v>235</v>
      </c>
      <c r="E93" s="22" t="s">
        <v>287</v>
      </c>
      <c r="F93" s="23" t="s">
        <v>40</v>
      </c>
    </row>
    <row r="94" spans="2:6" ht="15" customHeight="1" x14ac:dyDescent="0.45">
      <c r="B94" s="24" t="s">
        <v>288</v>
      </c>
      <c r="C94" s="25" t="s">
        <v>289</v>
      </c>
      <c r="D94" s="26" t="s">
        <v>235</v>
      </c>
      <c r="E94" s="27" t="s">
        <v>290</v>
      </c>
      <c r="F94" s="23" t="s">
        <v>40</v>
      </c>
    </row>
    <row r="95" spans="2:6" ht="15" customHeight="1" x14ac:dyDescent="0.45">
      <c r="B95" s="19" t="s">
        <v>291</v>
      </c>
      <c r="C95" s="20" t="s">
        <v>292</v>
      </c>
      <c r="D95" s="21" t="s">
        <v>235</v>
      </c>
      <c r="E95" s="22" t="s">
        <v>293</v>
      </c>
      <c r="F95" s="23" t="s">
        <v>40</v>
      </c>
    </row>
    <row r="96" spans="2:6" ht="15" customHeight="1" x14ac:dyDescent="0.45">
      <c r="B96" s="24" t="s">
        <v>294</v>
      </c>
      <c r="C96" s="25" t="s">
        <v>295</v>
      </c>
      <c r="D96" s="26" t="s">
        <v>235</v>
      </c>
      <c r="E96" s="27" t="s">
        <v>296</v>
      </c>
      <c r="F96" s="23" t="s">
        <v>40</v>
      </c>
    </row>
    <row r="97" spans="2:6" ht="15" customHeight="1" x14ac:dyDescent="0.45">
      <c r="B97" s="19" t="s">
        <v>297</v>
      </c>
      <c r="C97" s="20" t="s">
        <v>298</v>
      </c>
      <c r="D97" s="21" t="s">
        <v>235</v>
      </c>
      <c r="E97" s="22" t="s">
        <v>299</v>
      </c>
      <c r="F97" s="23" t="s">
        <v>40</v>
      </c>
    </row>
  </sheetData>
  <mergeCells count="16">
    <mergeCell ref="B72:F72"/>
    <mergeCell ref="B53:F53"/>
    <mergeCell ref="B54:E54"/>
    <mergeCell ref="B55:F55"/>
    <mergeCell ref="B56:F56"/>
    <mergeCell ref="B61:F61"/>
    <mergeCell ref="B40:F40"/>
    <mergeCell ref="B41:F41"/>
    <mergeCell ref="B45:F45"/>
    <mergeCell ref="B46:F46"/>
    <mergeCell ref="B50:F50"/>
    <mergeCell ref="B1:F1"/>
    <mergeCell ref="B4:F4"/>
    <mergeCell ref="B14:F14"/>
    <mergeCell ref="B22:F22"/>
    <mergeCell ref="B29:F29"/>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E86AB"/>
  </sheetPr>
  <dimension ref="B1:F54"/>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6640625" defaultRowHeight="14.25" x14ac:dyDescent="0.45"/>
  <cols>
    <col min="1" max="1" width="3" customWidth="1"/>
    <col min="2" max="2" width="36" customWidth="1"/>
    <col min="3" max="6" width="14" customWidth="1"/>
    <col min="7" max="7" width="3" customWidth="1"/>
  </cols>
  <sheetData>
    <row r="1" spans="2:6" ht="25.5" customHeight="1" x14ac:dyDescent="0.45">
      <c r="B1" s="148" t="s">
        <v>300</v>
      </c>
      <c r="C1" s="148"/>
      <c r="D1" s="148"/>
      <c r="E1" s="148"/>
      <c r="F1" s="148"/>
    </row>
    <row r="2" spans="2:6" ht="6" customHeight="1" x14ac:dyDescent="0.45"/>
    <row r="4" spans="2:6" ht="21.75" customHeight="1" x14ac:dyDescent="0.45">
      <c r="B4" s="17"/>
      <c r="C4" s="17" t="s">
        <v>301</v>
      </c>
      <c r="D4" s="17" t="s">
        <v>302</v>
      </c>
      <c r="E4" s="17" t="s">
        <v>303</v>
      </c>
      <c r="F4" s="17" t="s">
        <v>304</v>
      </c>
    </row>
    <row r="5" spans="2:6" ht="19.5" customHeight="1" x14ac:dyDescent="0.45">
      <c r="B5" s="1" t="s">
        <v>305</v>
      </c>
      <c r="C5" s="1"/>
      <c r="D5" s="1"/>
      <c r="E5" s="1"/>
      <c r="F5" s="1"/>
    </row>
    <row r="6" spans="2:6" ht="18" customHeight="1" x14ac:dyDescent="0.45">
      <c r="B6" s="33" t="s">
        <v>306</v>
      </c>
      <c r="C6" s="34">
        <v>3187</v>
      </c>
      <c r="D6" s="34">
        <v>3329</v>
      </c>
      <c r="E6" s="34">
        <v>3291</v>
      </c>
      <c r="F6" s="34">
        <v>3432</v>
      </c>
    </row>
    <row r="7" spans="2:6" ht="18" customHeight="1" x14ac:dyDescent="0.45">
      <c r="B7" s="35" t="s">
        <v>307</v>
      </c>
      <c r="C7" s="36" t="s">
        <v>308</v>
      </c>
      <c r="D7" s="37">
        <f>(D6-C6)/C6</f>
        <v>4.4556008785691874E-2</v>
      </c>
      <c r="E7" s="37">
        <f>(E6-D6)/D6</f>
        <v>-1.1414839291078402E-2</v>
      </c>
      <c r="F7" s="37">
        <f>(F6-E6)/E6</f>
        <v>4.2844120328167729E-2</v>
      </c>
    </row>
    <row r="8" spans="2:6" ht="18" customHeight="1" x14ac:dyDescent="0.45">
      <c r="B8" s="33" t="s">
        <v>309</v>
      </c>
      <c r="C8" s="34">
        <v>541</v>
      </c>
      <c r="D8" s="34">
        <v>566</v>
      </c>
      <c r="E8" s="34">
        <v>567</v>
      </c>
      <c r="F8" s="34">
        <v>620</v>
      </c>
    </row>
    <row r="9" spans="2:6" ht="18" customHeight="1" x14ac:dyDescent="0.45">
      <c r="B9" s="35" t="s">
        <v>310</v>
      </c>
      <c r="C9" s="37">
        <f>C8/C6</f>
        <v>0.16975211797929088</v>
      </c>
      <c r="D9" s="37">
        <f>D8/D6</f>
        <v>0.1700210273355362</v>
      </c>
      <c r="E9" s="37">
        <f>E8/E6</f>
        <v>0.17228805834092981</v>
      </c>
      <c r="F9" s="37">
        <f>F8/F6</f>
        <v>0.18065268065268064</v>
      </c>
    </row>
    <row r="10" spans="2:6" ht="18" customHeight="1" x14ac:dyDescent="0.45">
      <c r="B10" s="35" t="s">
        <v>311</v>
      </c>
      <c r="C10" s="38">
        <v>138</v>
      </c>
      <c r="D10" s="38">
        <v>143</v>
      </c>
      <c r="E10" s="38">
        <v>145</v>
      </c>
      <c r="F10" s="38">
        <v>149</v>
      </c>
    </row>
    <row r="11" spans="2:6" ht="18" customHeight="1" x14ac:dyDescent="0.45">
      <c r="B11" s="33" t="s">
        <v>312</v>
      </c>
      <c r="C11" s="34">
        <f>C8+C10</f>
        <v>679</v>
      </c>
      <c r="D11" s="34">
        <f>D8+D10</f>
        <v>709</v>
      </c>
      <c r="E11" s="34">
        <f>E8+E10</f>
        <v>712</v>
      </c>
      <c r="F11" s="34">
        <f>F8+F10</f>
        <v>769</v>
      </c>
    </row>
    <row r="12" spans="2:6" ht="18" customHeight="1" x14ac:dyDescent="0.45">
      <c r="B12" s="35" t="s">
        <v>313</v>
      </c>
      <c r="C12" s="37">
        <f>C11/C6</f>
        <v>0.21305302792594916</v>
      </c>
      <c r="D12" s="37">
        <f>D11/D6</f>
        <v>0.2129768699309102</v>
      </c>
      <c r="E12" s="37">
        <f>E11/E6</f>
        <v>0.21634761470677605</v>
      </c>
      <c r="F12" s="37">
        <f>F11/F6</f>
        <v>0.22406759906759907</v>
      </c>
    </row>
    <row r="13" spans="2:6" ht="18" customHeight="1" x14ac:dyDescent="0.45">
      <c r="B13" s="35" t="s">
        <v>314</v>
      </c>
      <c r="C13" s="38">
        <v>42</v>
      </c>
      <c r="D13" s="38">
        <v>43</v>
      </c>
      <c r="E13" s="38">
        <v>45</v>
      </c>
      <c r="F13" s="38">
        <v>48</v>
      </c>
    </row>
    <row r="14" spans="2:6" ht="18" customHeight="1" x14ac:dyDescent="0.45">
      <c r="B14" s="39" t="s">
        <v>315</v>
      </c>
      <c r="C14" s="40">
        <f>C8-C13</f>
        <v>499</v>
      </c>
      <c r="D14" s="40">
        <f>D8-D13</f>
        <v>523</v>
      </c>
      <c r="E14" s="40">
        <f>E8-E13</f>
        <v>522</v>
      </c>
      <c r="F14" s="40">
        <f>F8-F13</f>
        <v>572</v>
      </c>
    </row>
    <row r="15" spans="2:6" ht="18" customHeight="1" x14ac:dyDescent="0.45">
      <c r="B15" s="35" t="s">
        <v>316</v>
      </c>
      <c r="C15" s="38">
        <v>73</v>
      </c>
      <c r="D15" s="38">
        <v>76</v>
      </c>
      <c r="E15" s="38">
        <v>78</v>
      </c>
      <c r="F15" s="38">
        <v>91</v>
      </c>
    </row>
    <row r="16" spans="2:6" ht="18" customHeight="1" x14ac:dyDescent="0.45">
      <c r="B16" s="33" t="s">
        <v>317</v>
      </c>
      <c r="C16" s="34">
        <f>C14-C15</f>
        <v>426</v>
      </c>
      <c r="D16" s="34">
        <f>D14-D15</f>
        <v>447</v>
      </c>
      <c r="E16" s="34">
        <f>E14-E15</f>
        <v>444</v>
      </c>
      <c r="F16" s="34">
        <f>F14-F15</f>
        <v>481</v>
      </c>
    </row>
    <row r="17" spans="2:6" ht="18" customHeight="1" x14ac:dyDescent="0.45">
      <c r="B17" s="35" t="s">
        <v>318</v>
      </c>
      <c r="C17" s="41">
        <v>215</v>
      </c>
      <c r="D17" s="41">
        <v>230</v>
      </c>
      <c r="E17" s="41">
        <v>241</v>
      </c>
      <c r="F17" s="41">
        <v>253.5</v>
      </c>
    </row>
    <row r="18" spans="2:6" ht="18" customHeight="1" x14ac:dyDescent="0.45">
      <c r="B18" s="39" t="s">
        <v>319</v>
      </c>
      <c r="C18" s="42" t="s">
        <v>308</v>
      </c>
      <c r="D18" s="43">
        <f>(D17-C17)/C17</f>
        <v>6.9767441860465115E-2</v>
      </c>
      <c r="E18" s="43">
        <f>(E17-D17)/D17</f>
        <v>4.7826086956521741E-2</v>
      </c>
      <c r="F18" s="43">
        <f>(F17-E17)/E17</f>
        <v>5.1867219917012451E-2</v>
      </c>
    </row>
    <row r="20" spans="2:6" ht="19.5" customHeight="1" x14ac:dyDescent="0.45">
      <c r="B20" s="1" t="s">
        <v>320</v>
      </c>
      <c r="C20" s="1"/>
      <c r="D20" s="1"/>
      <c r="E20" s="1"/>
      <c r="F20" s="1"/>
    </row>
    <row r="21" spans="2:6" ht="18" customHeight="1" x14ac:dyDescent="0.45">
      <c r="B21" s="33" t="s">
        <v>321</v>
      </c>
      <c r="C21" s="34">
        <v>560</v>
      </c>
      <c r="D21" s="34">
        <v>562</v>
      </c>
      <c r="E21" s="34">
        <v>535</v>
      </c>
      <c r="F21" s="34">
        <v>762</v>
      </c>
    </row>
    <row r="22" spans="2:6" ht="18" customHeight="1" x14ac:dyDescent="0.45">
      <c r="B22" s="35" t="s">
        <v>322</v>
      </c>
      <c r="C22" s="37">
        <f>C21/C11</f>
        <v>0.82474226804123707</v>
      </c>
      <c r="D22" s="37">
        <f>D21/D11</f>
        <v>0.79266572637517629</v>
      </c>
      <c r="E22" s="37">
        <f>E21/E11</f>
        <v>0.7514044943820225</v>
      </c>
      <c r="F22" s="37">
        <f>F21/F11</f>
        <v>0.99089726918075427</v>
      </c>
    </row>
    <row r="23" spans="2:6" ht="18" customHeight="1" x14ac:dyDescent="0.45">
      <c r="B23" s="35" t="s">
        <v>323</v>
      </c>
      <c r="C23" s="38">
        <v>134</v>
      </c>
      <c r="D23" s="38">
        <v>145</v>
      </c>
      <c r="E23" s="38">
        <v>135</v>
      </c>
      <c r="F23" s="38">
        <v>155</v>
      </c>
    </row>
    <row r="24" spans="2:6" ht="18" customHeight="1" x14ac:dyDescent="0.45">
      <c r="B24" s="33" t="s">
        <v>324</v>
      </c>
      <c r="C24" s="34">
        <f>C21-C23</f>
        <v>426</v>
      </c>
      <c r="D24" s="34">
        <f>D21-D23</f>
        <v>417</v>
      </c>
      <c r="E24" s="34">
        <f>E21-E23</f>
        <v>400</v>
      </c>
      <c r="F24" s="34">
        <f>F21-F23</f>
        <v>607</v>
      </c>
    </row>
    <row r="25" spans="2:6" ht="18" customHeight="1" x14ac:dyDescent="0.45">
      <c r="B25" s="35" t="s">
        <v>325</v>
      </c>
      <c r="C25" s="37">
        <f>C24/C6</f>
        <v>0.13366802635707561</v>
      </c>
      <c r="D25" s="37">
        <f>D24/D6</f>
        <v>0.12526284169420246</v>
      </c>
      <c r="E25" s="37">
        <f>E24/E6</f>
        <v>0.12154360376785171</v>
      </c>
      <c r="F25" s="37">
        <f>F24/F6</f>
        <v>0.17686480186480186</v>
      </c>
    </row>
    <row r="26" spans="2:6" ht="18" customHeight="1" x14ac:dyDescent="0.45">
      <c r="B26" s="35" t="s">
        <v>326</v>
      </c>
      <c r="C26" s="38">
        <v>148</v>
      </c>
      <c r="D26" s="38">
        <v>157</v>
      </c>
      <c r="E26" s="38">
        <v>165</v>
      </c>
      <c r="F26" s="38">
        <v>174</v>
      </c>
    </row>
    <row r="27" spans="2:6" ht="18" customHeight="1" x14ac:dyDescent="0.45">
      <c r="B27" s="35" t="s">
        <v>327</v>
      </c>
      <c r="C27" s="38">
        <v>73</v>
      </c>
      <c r="D27" s="38">
        <v>176</v>
      </c>
      <c r="E27" s="38">
        <v>145</v>
      </c>
      <c r="F27" s="38">
        <v>310</v>
      </c>
    </row>
    <row r="29" spans="2:6" ht="19.5" customHeight="1" x14ac:dyDescent="0.45">
      <c r="B29" s="1" t="s">
        <v>328</v>
      </c>
      <c r="C29" s="1"/>
      <c r="D29" s="1"/>
      <c r="E29" s="1"/>
      <c r="F29" s="1"/>
    </row>
    <row r="30" spans="2:6" ht="18" customHeight="1" x14ac:dyDescent="0.45">
      <c r="B30" s="39" t="s">
        <v>329</v>
      </c>
      <c r="C30" s="44">
        <v>204</v>
      </c>
      <c r="D30" s="44">
        <v>265</v>
      </c>
      <c r="E30" s="44">
        <v>299</v>
      </c>
      <c r="F30" s="44">
        <v>285</v>
      </c>
    </row>
    <row r="31" spans="2:6" ht="18" customHeight="1" x14ac:dyDescent="0.45">
      <c r="B31" s="35" t="s">
        <v>330</v>
      </c>
      <c r="C31" s="38">
        <v>1234</v>
      </c>
      <c r="D31" s="38">
        <v>1290</v>
      </c>
      <c r="E31" s="38">
        <v>1222</v>
      </c>
      <c r="F31" s="38">
        <v>1135</v>
      </c>
    </row>
    <row r="32" spans="2:6" ht="18" customHeight="1" x14ac:dyDescent="0.45">
      <c r="B32" s="33" t="s">
        <v>331</v>
      </c>
      <c r="C32" s="34">
        <f>C31-C30</f>
        <v>1030</v>
      </c>
      <c r="D32" s="34">
        <f>D31-D30</f>
        <v>1025</v>
      </c>
      <c r="E32" s="34">
        <f>E31-E30</f>
        <v>923</v>
      </c>
      <c r="F32" s="34">
        <f>F31-F30</f>
        <v>850</v>
      </c>
    </row>
    <row r="33" spans="2:6" ht="18" customHeight="1" x14ac:dyDescent="0.45">
      <c r="B33" s="35" t="s">
        <v>332</v>
      </c>
      <c r="C33" s="45">
        <f>C32/C11</f>
        <v>1.5169366715758468</v>
      </c>
      <c r="D33" s="45">
        <f>D32/D11</f>
        <v>1.4456981664315938</v>
      </c>
      <c r="E33" s="45">
        <f>E32/E11</f>
        <v>1.2963483146067416</v>
      </c>
      <c r="F33" s="45">
        <f>F32/F11</f>
        <v>1.1053315994798441</v>
      </c>
    </row>
    <row r="34" spans="2:6" ht="18" customHeight="1" x14ac:dyDescent="0.45">
      <c r="B34" s="39" t="s">
        <v>333</v>
      </c>
      <c r="C34" s="44">
        <v>975</v>
      </c>
      <c r="D34" s="44">
        <v>1080</v>
      </c>
      <c r="E34" s="44">
        <v>1280</v>
      </c>
      <c r="F34" s="44">
        <v>1320</v>
      </c>
    </row>
    <row r="35" spans="2:6" ht="18" customHeight="1" x14ac:dyDescent="0.45">
      <c r="B35" s="35" t="s">
        <v>334</v>
      </c>
      <c r="C35" s="38">
        <v>2620</v>
      </c>
      <c r="D35" s="38">
        <v>3250</v>
      </c>
      <c r="E35" s="38">
        <v>3540</v>
      </c>
      <c r="F35" s="38">
        <v>3800</v>
      </c>
    </row>
    <row r="37" spans="2:6" ht="19.5" customHeight="1" x14ac:dyDescent="0.45">
      <c r="B37" s="1" t="s">
        <v>335</v>
      </c>
      <c r="C37" s="1"/>
      <c r="D37" s="1"/>
      <c r="E37" s="1"/>
      <c r="F37" s="1"/>
    </row>
    <row r="38" spans="2:6" ht="18" customHeight="1" x14ac:dyDescent="0.45">
      <c r="B38" s="39" t="s">
        <v>336</v>
      </c>
      <c r="C38" s="46">
        <v>5.1999999999999998E-2</v>
      </c>
      <c r="D38" s="46">
        <v>5.8999999999999997E-2</v>
      </c>
      <c r="E38" s="46">
        <v>5.5E-2</v>
      </c>
      <c r="F38" s="46">
        <v>4.2999999999999997E-2</v>
      </c>
    </row>
    <row r="39" spans="2:6" ht="18" customHeight="1" x14ac:dyDescent="0.45">
      <c r="B39" s="35" t="s">
        <v>337</v>
      </c>
      <c r="C39" s="36" t="s">
        <v>308</v>
      </c>
      <c r="D39" s="37">
        <f>(D6-C6)/C6</f>
        <v>4.4556008785691874E-2</v>
      </c>
      <c r="E39" s="37">
        <f>(E6-D6)/D6</f>
        <v>-1.1414839291078402E-2</v>
      </c>
      <c r="F39" s="37">
        <f>(F6-E6)/E6</f>
        <v>4.2844120328167729E-2</v>
      </c>
    </row>
    <row r="40" spans="2:6" ht="18" customHeight="1" x14ac:dyDescent="0.45">
      <c r="B40" s="35" t="s">
        <v>338</v>
      </c>
      <c r="C40" s="47">
        <v>-0.01</v>
      </c>
      <c r="D40" s="47">
        <v>-2E-3</v>
      </c>
      <c r="E40" s="47">
        <v>5.0000000000000001E-3</v>
      </c>
      <c r="F40" s="47">
        <v>-3.2000000000000001E-2</v>
      </c>
    </row>
    <row r="41" spans="2:6" ht="18" customHeight="1" x14ac:dyDescent="0.45">
      <c r="B41" s="39" t="s">
        <v>339</v>
      </c>
      <c r="C41" s="43">
        <f>C23/C6</f>
        <v>4.2045811107624724E-2</v>
      </c>
      <c r="D41" s="43">
        <f>D23/D6</f>
        <v>4.3556623610693901E-2</v>
      </c>
      <c r="E41" s="43">
        <f>E23/E6</f>
        <v>4.1020966271649952E-2</v>
      </c>
      <c r="F41" s="43">
        <f>F23/F6</f>
        <v>4.516317016317016E-2</v>
      </c>
    </row>
    <row r="42" spans="2:6" ht="18" customHeight="1" x14ac:dyDescent="0.45">
      <c r="B42" s="35" t="s">
        <v>340</v>
      </c>
      <c r="C42" s="41">
        <v>140</v>
      </c>
      <c r="D42" s="41">
        <v>149</v>
      </c>
      <c r="E42" s="41">
        <v>158</v>
      </c>
      <c r="F42" s="41">
        <v>165</v>
      </c>
    </row>
    <row r="43" spans="2:6" ht="18" customHeight="1" x14ac:dyDescent="0.45">
      <c r="B43" s="39" t="s">
        <v>341</v>
      </c>
      <c r="C43" s="43">
        <f>C26/C16</f>
        <v>0.34741784037558687</v>
      </c>
      <c r="D43" s="43">
        <f>D26/D16</f>
        <v>0.35123042505592839</v>
      </c>
      <c r="E43" s="43">
        <f>E26/E16</f>
        <v>0.3716216216216216</v>
      </c>
      <c r="F43" s="43">
        <f>F26/F16</f>
        <v>0.36174636174636177</v>
      </c>
    </row>
    <row r="45" spans="2:6" ht="19.5" customHeight="1" x14ac:dyDescent="0.45">
      <c r="B45" s="1" t="s">
        <v>342</v>
      </c>
      <c r="C45" s="1"/>
      <c r="D45" s="1"/>
      <c r="E45" s="1"/>
      <c r="F45" s="1"/>
    </row>
    <row r="46" spans="2:6" ht="18" customHeight="1" x14ac:dyDescent="0.45">
      <c r="B46" s="39" t="s">
        <v>343</v>
      </c>
      <c r="C46" s="44"/>
      <c r="D46" s="44"/>
      <c r="E46" s="44"/>
      <c r="F46" s="44">
        <v>995</v>
      </c>
    </row>
    <row r="47" spans="2:6" ht="18" customHeight="1" x14ac:dyDescent="0.45">
      <c r="B47" s="35" t="s">
        <v>344</v>
      </c>
      <c r="C47" s="47"/>
      <c r="D47" s="47"/>
      <c r="E47" s="47"/>
      <c r="F47" s="47">
        <v>0.3</v>
      </c>
    </row>
    <row r="48" spans="2:6" ht="18" customHeight="1" x14ac:dyDescent="0.45">
      <c r="B48" s="39" t="s">
        <v>345</v>
      </c>
      <c r="C48" s="44"/>
      <c r="D48" s="44"/>
      <c r="E48" s="44"/>
      <c r="F48" s="44">
        <v>858</v>
      </c>
    </row>
    <row r="49" spans="2:6" ht="18" customHeight="1" x14ac:dyDescent="0.45">
      <c r="B49" s="35" t="s">
        <v>346</v>
      </c>
      <c r="C49" s="38"/>
      <c r="D49" s="38"/>
      <c r="E49" s="38"/>
      <c r="F49" s="38">
        <v>721</v>
      </c>
    </row>
    <row r="50" spans="2:6" ht="18" customHeight="1" x14ac:dyDescent="0.45">
      <c r="B50" s="39" t="s">
        <v>347</v>
      </c>
      <c r="C50" s="44"/>
      <c r="D50" s="44"/>
      <c r="E50" s="44"/>
      <c r="F50" s="44">
        <v>515</v>
      </c>
    </row>
    <row r="51" spans="2:6" ht="18" customHeight="1" x14ac:dyDescent="0.45">
      <c r="B51" s="35" t="s">
        <v>348</v>
      </c>
      <c r="C51" s="38"/>
      <c r="D51" s="38"/>
      <c r="E51" s="38"/>
      <c r="F51" s="38">
        <v>343</v>
      </c>
    </row>
    <row r="52" spans="2:6" ht="18" customHeight="1" x14ac:dyDescent="0.45">
      <c r="B52" s="33" t="s">
        <v>349</v>
      </c>
      <c r="C52" s="34"/>
      <c r="D52" s="34"/>
      <c r="E52" s="34"/>
      <c r="F52" s="34">
        <f>SUM(F46,F48:F51)</f>
        <v>3432</v>
      </c>
    </row>
    <row r="54" spans="2:6" ht="27.75" customHeight="1" x14ac:dyDescent="0.45">
      <c r="B54" s="4" t="s">
        <v>350</v>
      </c>
      <c r="C54" s="4"/>
      <c r="D54" s="4"/>
      <c r="E54" s="4"/>
      <c r="F54" s="4"/>
    </row>
  </sheetData>
  <mergeCells count="7">
    <mergeCell ref="B45:F45"/>
    <mergeCell ref="B54:F54"/>
    <mergeCell ref="B1:F1"/>
    <mergeCell ref="B5:F5"/>
    <mergeCell ref="B20:F20"/>
    <mergeCell ref="B29:F29"/>
    <mergeCell ref="B37:F37"/>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7AE60"/>
  </sheetPr>
  <dimension ref="B1:I79"/>
  <sheetViews>
    <sheetView showGridLines="0" zoomScaleNormal="100" workbookViewId="0">
      <pane xSplit="2" ySplit="5" topLeftCell="C6" activePane="bottomRight" state="frozen"/>
      <selection pane="topRight" activeCell="C1" sqref="C1"/>
      <selection pane="bottomLeft" activeCell="A6" sqref="A6"/>
      <selection pane="bottomRight"/>
    </sheetView>
  </sheetViews>
  <sheetFormatPr defaultColWidth="8.6640625" defaultRowHeight="14.25" x14ac:dyDescent="0.45"/>
  <cols>
    <col min="1" max="1" width="3" customWidth="1"/>
    <col min="2" max="2" width="36" customWidth="1"/>
    <col min="3" max="9" width="13" customWidth="1"/>
    <col min="10" max="10" width="3" customWidth="1"/>
  </cols>
  <sheetData>
    <row r="1" spans="2:9" ht="25.5" customHeight="1" x14ac:dyDescent="0.45">
      <c r="B1" s="148" t="s">
        <v>351</v>
      </c>
      <c r="C1" s="148"/>
      <c r="D1" s="148"/>
      <c r="E1" s="148"/>
      <c r="F1" s="148"/>
      <c r="G1" s="148"/>
      <c r="H1" s="148"/>
      <c r="I1" s="148"/>
    </row>
    <row r="2" spans="2:9" ht="18" customHeight="1" x14ac:dyDescent="0.45">
      <c r="B2" s="149" t="s">
        <v>352</v>
      </c>
      <c r="C2" s="149"/>
      <c r="D2" s="149"/>
      <c r="E2" s="149"/>
      <c r="F2" s="149"/>
      <c r="G2" s="149"/>
      <c r="H2" s="149"/>
      <c r="I2" s="149"/>
    </row>
    <row r="5" spans="2:9" ht="21.75" customHeight="1" x14ac:dyDescent="0.45">
      <c r="B5" s="48"/>
      <c r="C5" s="48" t="s">
        <v>304</v>
      </c>
      <c r="D5" s="48" t="s">
        <v>353</v>
      </c>
      <c r="E5" s="48" t="s">
        <v>354</v>
      </c>
      <c r="F5" s="48" t="s">
        <v>355</v>
      </c>
      <c r="G5" s="48" t="s">
        <v>356</v>
      </c>
      <c r="H5" s="48" t="s">
        <v>357</v>
      </c>
    </row>
    <row r="6" spans="2:9" ht="19.5" customHeight="1" x14ac:dyDescent="0.45">
      <c r="B6" s="1" t="s">
        <v>358</v>
      </c>
      <c r="C6" s="1"/>
      <c r="D6" s="1"/>
      <c r="E6" s="1"/>
      <c r="F6" s="1"/>
    </row>
    <row r="7" spans="2:9" ht="18" customHeight="1" x14ac:dyDescent="0.45">
      <c r="B7" s="33" t="s">
        <v>306</v>
      </c>
      <c r="C7" s="34">
        <v>3432</v>
      </c>
      <c r="D7" s="34">
        <f>C7*1.035</f>
        <v>3552.12</v>
      </c>
      <c r="E7" s="34">
        <f>D7*1.035</f>
        <v>3676.4441999999995</v>
      </c>
      <c r="F7" s="34">
        <f>E7*1.035</f>
        <v>3805.1197469999993</v>
      </c>
      <c r="G7" s="34">
        <f>F7*1.035</f>
        <v>3938.2989381449988</v>
      </c>
      <c r="H7" s="34">
        <f>G7*1.035</f>
        <v>4076.1394009800733</v>
      </c>
    </row>
    <row r="8" spans="2:9" ht="18" customHeight="1" x14ac:dyDescent="0.45">
      <c r="B8" s="35" t="s">
        <v>359</v>
      </c>
      <c r="C8" s="47"/>
      <c r="D8" s="47">
        <v>3.5000000000000003E-2</v>
      </c>
      <c r="E8" s="47">
        <v>3.5000000000000003E-2</v>
      </c>
      <c r="F8" s="47">
        <v>3.5000000000000003E-2</v>
      </c>
      <c r="G8" s="47">
        <v>3.5000000000000003E-2</v>
      </c>
      <c r="H8" s="47">
        <v>3.5000000000000003E-2</v>
      </c>
    </row>
    <row r="10" spans="2:9" ht="19.5" customHeight="1" x14ac:dyDescent="0.45">
      <c r="B10" s="1" t="s">
        <v>360</v>
      </c>
      <c r="C10" s="1"/>
      <c r="D10" s="1"/>
      <c r="E10" s="1"/>
      <c r="F10" s="1"/>
    </row>
    <row r="11" spans="2:9" ht="18" customHeight="1" x14ac:dyDescent="0.45">
      <c r="B11" s="39" t="s">
        <v>361</v>
      </c>
      <c r="C11" s="46">
        <v>0.18099999999999999</v>
      </c>
      <c r="D11" s="46">
        <v>0.185</v>
      </c>
      <c r="E11" s="46">
        <v>0.188</v>
      </c>
      <c r="F11" s="46">
        <v>0.191</v>
      </c>
      <c r="G11" s="46">
        <v>0.193</v>
      </c>
      <c r="H11" s="46">
        <v>0.19500000000000001</v>
      </c>
    </row>
    <row r="12" spans="2:9" ht="18" customHeight="1" x14ac:dyDescent="0.45">
      <c r="B12" s="49" t="s">
        <v>309</v>
      </c>
      <c r="C12" s="50">
        <f t="shared" ref="C12:H12" si="0">C7*C11</f>
        <v>621.19200000000001</v>
      </c>
      <c r="D12" s="50">
        <f t="shared" si="0"/>
        <v>657.1422</v>
      </c>
      <c r="E12" s="50">
        <f t="shared" si="0"/>
        <v>691.17150959999992</v>
      </c>
      <c r="F12" s="50">
        <f t="shared" si="0"/>
        <v>726.77787167699989</v>
      </c>
      <c r="G12" s="50">
        <f t="shared" si="0"/>
        <v>760.09169506198475</v>
      </c>
      <c r="H12" s="50">
        <f t="shared" si="0"/>
        <v>794.84718319111437</v>
      </c>
    </row>
    <row r="13" spans="2:9" ht="18" customHeight="1" x14ac:dyDescent="0.45">
      <c r="B13" s="39" t="s">
        <v>362</v>
      </c>
      <c r="C13" s="40">
        <f t="shared" ref="C13:H13" si="1">C7*0.042</f>
        <v>144.14400000000001</v>
      </c>
      <c r="D13" s="40">
        <f t="shared" si="1"/>
        <v>149.18904000000001</v>
      </c>
      <c r="E13" s="40">
        <f t="shared" si="1"/>
        <v>154.41065639999999</v>
      </c>
      <c r="F13" s="40">
        <f t="shared" si="1"/>
        <v>159.81502937399998</v>
      </c>
      <c r="G13" s="40">
        <f t="shared" si="1"/>
        <v>165.40855540208997</v>
      </c>
      <c r="H13" s="40">
        <f t="shared" si="1"/>
        <v>171.19785484116309</v>
      </c>
    </row>
    <row r="14" spans="2:9" ht="18" customHeight="1" x14ac:dyDescent="0.45">
      <c r="B14" s="49" t="s">
        <v>363</v>
      </c>
      <c r="C14" s="50">
        <f t="shared" ref="C14:H14" si="2">C12+C13</f>
        <v>765.33600000000001</v>
      </c>
      <c r="D14" s="50">
        <f t="shared" si="2"/>
        <v>806.33123999999998</v>
      </c>
      <c r="E14" s="50">
        <f t="shared" si="2"/>
        <v>845.58216599999992</v>
      </c>
      <c r="F14" s="50">
        <f t="shared" si="2"/>
        <v>886.5929010509999</v>
      </c>
      <c r="G14" s="50">
        <f t="shared" si="2"/>
        <v>925.50025046407472</v>
      </c>
      <c r="H14" s="50">
        <f t="shared" si="2"/>
        <v>966.04503803227749</v>
      </c>
    </row>
    <row r="15" spans="2:9" ht="18" customHeight="1" x14ac:dyDescent="0.45">
      <c r="B15" s="39" t="s">
        <v>313</v>
      </c>
      <c r="C15" s="43">
        <f t="shared" ref="C15:H15" si="3">C14/C7</f>
        <v>0.223</v>
      </c>
      <c r="D15" s="43">
        <f t="shared" si="3"/>
        <v>0.22700000000000001</v>
      </c>
      <c r="E15" s="43">
        <f t="shared" si="3"/>
        <v>0.23</v>
      </c>
      <c r="F15" s="43">
        <f t="shared" si="3"/>
        <v>0.23300000000000001</v>
      </c>
      <c r="G15" s="43">
        <f t="shared" si="3"/>
        <v>0.23499999999999999</v>
      </c>
      <c r="H15" s="43">
        <f t="shared" si="3"/>
        <v>0.23700000000000002</v>
      </c>
    </row>
    <row r="17" spans="2:8" ht="19.5" customHeight="1" x14ac:dyDescent="0.45">
      <c r="B17" s="1" t="s">
        <v>364</v>
      </c>
      <c r="C17" s="1"/>
      <c r="D17" s="1"/>
      <c r="E17" s="1"/>
      <c r="F17" s="1"/>
    </row>
    <row r="18" spans="2:8" ht="18" customHeight="1" x14ac:dyDescent="0.45">
      <c r="B18" s="39" t="s">
        <v>365</v>
      </c>
      <c r="C18" s="40">
        <f t="shared" ref="C18:H18" si="4">C12</f>
        <v>621.19200000000001</v>
      </c>
      <c r="D18" s="40">
        <f t="shared" si="4"/>
        <v>657.1422</v>
      </c>
      <c r="E18" s="40">
        <f t="shared" si="4"/>
        <v>691.17150959999992</v>
      </c>
      <c r="F18" s="40">
        <f t="shared" si="4"/>
        <v>726.77787167699989</v>
      </c>
      <c r="G18" s="40">
        <f t="shared" si="4"/>
        <v>760.09169506198475</v>
      </c>
      <c r="H18" s="40">
        <f t="shared" si="4"/>
        <v>794.84718319111437</v>
      </c>
    </row>
    <row r="19" spans="2:8" ht="18" customHeight="1" x14ac:dyDescent="0.45">
      <c r="B19" s="35" t="s">
        <v>366</v>
      </c>
      <c r="C19" s="51">
        <f t="shared" ref="C19:H19" si="5">-C18*0.235</f>
        <v>-145.98012</v>
      </c>
      <c r="D19" s="51">
        <f t="shared" si="5"/>
        <v>-154.428417</v>
      </c>
      <c r="E19" s="51">
        <f t="shared" si="5"/>
        <v>-162.42530475599997</v>
      </c>
      <c r="F19" s="51">
        <f t="shared" si="5"/>
        <v>-170.79279984409496</v>
      </c>
      <c r="G19" s="51">
        <f t="shared" si="5"/>
        <v>-178.6215483395664</v>
      </c>
      <c r="H19" s="51">
        <f t="shared" si="5"/>
        <v>-186.78908804991187</v>
      </c>
    </row>
    <row r="20" spans="2:8" ht="18" customHeight="1" x14ac:dyDescent="0.45">
      <c r="B20" s="33" t="s">
        <v>367</v>
      </c>
      <c r="C20" s="34">
        <f t="shared" ref="C20:H20" si="6">C18+C19</f>
        <v>475.21188000000001</v>
      </c>
      <c r="D20" s="34">
        <f t="shared" si="6"/>
        <v>502.71378300000003</v>
      </c>
      <c r="E20" s="34">
        <f t="shared" si="6"/>
        <v>528.74620484399998</v>
      </c>
      <c r="F20" s="34">
        <f t="shared" si="6"/>
        <v>555.98507183290496</v>
      </c>
      <c r="G20" s="34">
        <f t="shared" si="6"/>
        <v>581.47014672241835</v>
      </c>
      <c r="H20" s="34">
        <f t="shared" si="6"/>
        <v>608.05809514120256</v>
      </c>
    </row>
    <row r="21" spans="2:8" ht="18" customHeight="1" x14ac:dyDescent="0.45">
      <c r="B21" s="35" t="s">
        <v>368</v>
      </c>
      <c r="C21" s="51">
        <f t="shared" ref="C21:H21" si="7">C13</f>
        <v>144.14400000000001</v>
      </c>
      <c r="D21" s="51">
        <f t="shared" si="7"/>
        <v>149.18904000000001</v>
      </c>
      <c r="E21" s="51">
        <f t="shared" si="7"/>
        <v>154.41065639999999</v>
      </c>
      <c r="F21" s="51">
        <f t="shared" si="7"/>
        <v>159.81502937399998</v>
      </c>
      <c r="G21" s="51">
        <f t="shared" si="7"/>
        <v>165.40855540208997</v>
      </c>
      <c r="H21" s="51">
        <f t="shared" si="7"/>
        <v>171.19785484116309</v>
      </c>
    </row>
    <row r="22" spans="2:8" ht="18" customHeight="1" x14ac:dyDescent="0.45">
      <c r="B22" s="39" t="s">
        <v>369</v>
      </c>
      <c r="C22" s="40">
        <f t="shared" ref="C22:H22" si="8">-C7*0.045</f>
        <v>-154.44</v>
      </c>
      <c r="D22" s="40">
        <f t="shared" si="8"/>
        <v>-159.84539999999998</v>
      </c>
      <c r="E22" s="40">
        <f t="shared" si="8"/>
        <v>-165.43998899999997</v>
      </c>
      <c r="F22" s="40">
        <f t="shared" si="8"/>
        <v>-171.23038861499995</v>
      </c>
      <c r="G22" s="40">
        <f t="shared" si="8"/>
        <v>-177.22345221652495</v>
      </c>
      <c r="H22" s="40">
        <f t="shared" si="8"/>
        <v>-183.42627304410328</v>
      </c>
    </row>
    <row r="23" spans="2:8" ht="18" customHeight="1" x14ac:dyDescent="0.45">
      <c r="B23" s="35" t="s">
        <v>370</v>
      </c>
      <c r="C23" s="51">
        <f t="shared" ref="C23:H23" si="9">-C7*0.005</f>
        <v>-17.16</v>
      </c>
      <c r="D23" s="51">
        <f t="shared" si="9"/>
        <v>-17.7606</v>
      </c>
      <c r="E23" s="51">
        <f t="shared" si="9"/>
        <v>-18.382220999999998</v>
      </c>
      <c r="F23" s="51">
        <f t="shared" si="9"/>
        <v>-19.025598734999996</v>
      </c>
      <c r="G23" s="51">
        <f t="shared" si="9"/>
        <v>-19.691494690724994</v>
      </c>
      <c r="H23" s="51">
        <f t="shared" si="9"/>
        <v>-20.380697004900366</v>
      </c>
    </row>
    <row r="24" spans="2:8" ht="18" customHeight="1" x14ac:dyDescent="0.45">
      <c r="B24" s="33" t="s">
        <v>371</v>
      </c>
      <c r="C24" s="34">
        <f t="shared" ref="C24:H24" si="10">C20+C21+C22+C23</f>
        <v>447.75588000000005</v>
      </c>
      <c r="D24" s="34">
        <f t="shared" si="10"/>
        <v>474.29682300000002</v>
      </c>
      <c r="E24" s="34">
        <f t="shared" si="10"/>
        <v>499.33465124399999</v>
      </c>
      <c r="F24" s="34">
        <f t="shared" si="10"/>
        <v>525.54411385690503</v>
      </c>
      <c r="G24" s="34">
        <f t="shared" si="10"/>
        <v>549.96375521725838</v>
      </c>
      <c r="H24" s="34">
        <f t="shared" si="10"/>
        <v>575.44897993336201</v>
      </c>
    </row>
    <row r="25" spans="2:8" ht="18" customHeight="1" x14ac:dyDescent="0.45">
      <c r="B25" s="35" t="s">
        <v>372</v>
      </c>
      <c r="C25" s="37">
        <f t="shared" ref="C25:H25" si="11">C24/C7</f>
        <v>0.13046500000000003</v>
      </c>
      <c r="D25" s="37">
        <f t="shared" si="11"/>
        <v>0.133525</v>
      </c>
      <c r="E25" s="37">
        <f t="shared" si="11"/>
        <v>0.13582000000000002</v>
      </c>
      <c r="F25" s="37">
        <f t="shared" si="11"/>
        <v>0.13811500000000004</v>
      </c>
      <c r="G25" s="37">
        <f t="shared" si="11"/>
        <v>0.13964499999999999</v>
      </c>
      <c r="H25" s="37">
        <f t="shared" si="11"/>
        <v>0.14117500000000005</v>
      </c>
    </row>
    <row r="27" spans="2:8" ht="19.5" customHeight="1" x14ac:dyDescent="0.45">
      <c r="B27" s="1" t="s">
        <v>373</v>
      </c>
      <c r="C27" s="1"/>
      <c r="D27" s="1"/>
      <c r="E27" s="1"/>
      <c r="F27" s="1"/>
    </row>
    <row r="28" spans="2:8" ht="18" customHeight="1" x14ac:dyDescent="0.45">
      <c r="B28" s="39" t="s">
        <v>374</v>
      </c>
      <c r="C28" s="46">
        <v>7.3999999999999996E-2</v>
      </c>
      <c r="D28" s="46">
        <v>7.3999999999999996E-2</v>
      </c>
      <c r="E28" s="46">
        <v>7.3999999999999996E-2</v>
      </c>
      <c r="F28" s="46">
        <v>7.3999999999999996E-2</v>
      </c>
      <c r="G28" s="46">
        <v>7.3999999999999996E-2</v>
      </c>
      <c r="H28" s="46">
        <v>7.3999999999999996E-2</v>
      </c>
    </row>
    <row r="29" spans="2:8" ht="18" customHeight="1" x14ac:dyDescent="0.45">
      <c r="B29" s="35" t="s">
        <v>375</v>
      </c>
      <c r="C29" s="38"/>
      <c r="D29" s="38">
        <v>0.5</v>
      </c>
      <c r="E29" s="38">
        <v>1.5</v>
      </c>
      <c r="F29" s="38">
        <v>2.5</v>
      </c>
      <c r="G29" s="38">
        <v>3.5</v>
      </c>
      <c r="H29" s="38">
        <v>4.5</v>
      </c>
    </row>
    <row r="30" spans="2:8" ht="18" customHeight="1" x14ac:dyDescent="0.45">
      <c r="B30" s="39" t="s">
        <v>376</v>
      </c>
      <c r="C30" s="52"/>
      <c r="D30" s="53">
        <f>1/(1+D28)^D29</f>
        <v>0.96493455553308105</v>
      </c>
      <c r="E30" s="53">
        <f>1/(1+E28)^E29</f>
        <v>0.89844930682782231</v>
      </c>
      <c r="F30" s="53">
        <f>1/(1+F28)^F29</f>
        <v>0.83654497842441555</v>
      </c>
      <c r="G30" s="53">
        <f>1/(1+G28)^G29</f>
        <v>0.77890593894265869</v>
      </c>
      <c r="H30" s="53">
        <f>1/(1+H28)^H29</f>
        <v>0.72523830441588322</v>
      </c>
    </row>
    <row r="31" spans="2:8" ht="18" customHeight="1" x14ac:dyDescent="0.45">
      <c r="B31" s="49" t="s">
        <v>377</v>
      </c>
      <c r="C31" s="50"/>
      <c r="D31" s="50">
        <f>D24*D30</f>
        <v>457.66539409225743</v>
      </c>
      <c r="E31" s="50">
        <f>E24*E30</f>
        <v>448.62687128528421</v>
      </c>
      <c r="F31" s="50">
        <f>F24*F30</f>
        <v>439.64128938750321</v>
      </c>
      <c r="G31" s="50">
        <f>G24*G30</f>
        <v>428.37003514192912</v>
      </c>
      <c r="H31" s="50">
        <f>H24*H30</f>
        <v>417.33764248472107</v>
      </c>
    </row>
    <row r="32" spans="2:8" ht="18" customHeight="1" x14ac:dyDescent="0.45">
      <c r="B32" s="33" t="s">
        <v>378</v>
      </c>
      <c r="C32" s="34"/>
      <c r="D32" s="34">
        <f>SUM(D31:H31)</f>
        <v>2191.6412323916948</v>
      </c>
      <c r="E32" s="34"/>
      <c r="F32" s="34"/>
      <c r="G32" s="34"/>
      <c r="H32" s="34"/>
    </row>
    <row r="34" spans="2:8" ht="19.5" customHeight="1" x14ac:dyDescent="0.45">
      <c r="B34" s="1" t="s">
        <v>379</v>
      </c>
      <c r="C34" s="1"/>
      <c r="D34" s="1"/>
      <c r="E34" s="1"/>
      <c r="F34" s="1"/>
    </row>
    <row r="35" spans="2:8" ht="18" customHeight="1" x14ac:dyDescent="0.45">
      <c r="B35" s="39" t="s">
        <v>186</v>
      </c>
      <c r="C35" s="46">
        <v>2.5000000000000001E-2</v>
      </c>
      <c r="D35" s="46"/>
      <c r="E35" s="46"/>
      <c r="F35" s="46"/>
      <c r="G35" s="46"/>
      <c r="H35" s="46"/>
    </row>
    <row r="36" spans="2:8" ht="18" customHeight="1" x14ac:dyDescent="0.45">
      <c r="B36" s="35" t="s">
        <v>380</v>
      </c>
      <c r="C36" s="38"/>
      <c r="D36" s="38"/>
      <c r="E36" s="38"/>
      <c r="F36" s="38"/>
      <c r="G36" s="38"/>
      <c r="H36" s="51">
        <f>H24</f>
        <v>575.44897993336201</v>
      </c>
    </row>
    <row r="37" spans="2:8" ht="18" customHeight="1" x14ac:dyDescent="0.45">
      <c r="B37" s="33" t="s">
        <v>381</v>
      </c>
      <c r="C37" s="34"/>
      <c r="D37" s="34"/>
      <c r="E37" s="34"/>
      <c r="F37" s="34"/>
      <c r="G37" s="34"/>
      <c r="H37" s="34">
        <f>H24*(1+C35)/(C28-C35)</f>
        <v>12037.453151667265</v>
      </c>
    </row>
    <row r="38" spans="2:8" ht="18" customHeight="1" x14ac:dyDescent="0.45">
      <c r="B38" s="49" t="s">
        <v>382</v>
      </c>
      <c r="C38" s="50"/>
      <c r="D38" s="50"/>
      <c r="E38" s="50"/>
      <c r="F38" s="50"/>
      <c r="G38" s="50"/>
      <c r="H38" s="50">
        <f>H37/(1+H28)^5</f>
        <v>8423.9000075953809</v>
      </c>
    </row>
    <row r="39" spans="2:8" ht="18" customHeight="1" x14ac:dyDescent="0.45">
      <c r="B39" s="39" t="s">
        <v>383</v>
      </c>
      <c r="C39" s="54"/>
      <c r="D39" s="54"/>
      <c r="E39" s="54"/>
      <c r="F39" s="54"/>
      <c r="G39" s="54"/>
      <c r="H39" s="54">
        <v>13.5</v>
      </c>
    </row>
    <row r="40" spans="2:8" ht="18" customHeight="1" x14ac:dyDescent="0.45">
      <c r="B40" s="35" t="s">
        <v>384</v>
      </c>
      <c r="C40" s="38"/>
      <c r="D40" s="38"/>
      <c r="E40" s="38"/>
      <c r="F40" s="38"/>
      <c r="G40" s="38"/>
      <c r="H40" s="51">
        <f>H14*H39</f>
        <v>13041.608013435745</v>
      </c>
    </row>
    <row r="41" spans="2:8" ht="18" customHeight="1" x14ac:dyDescent="0.45">
      <c r="B41" s="35" t="s">
        <v>385</v>
      </c>
      <c r="C41" s="38"/>
      <c r="D41" s="38"/>
      <c r="E41" s="38"/>
      <c r="F41" s="38"/>
      <c r="G41" s="38"/>
      <c r="H41" s="51">
        <f>H40/(1+H28)^5</f>
        <v>9126.6151119533843</v>
      </c>
    </row>
    <row r="43" spans="2:8" ht="19.5" customHeight="1" x14ac:dyDescent="0.45">
      <c r="B43" s="1" t="s">
        <v>386</v>
      </c>
      <c r="C43" s="1"/>
      <c r="D43" s="1"/>
      <c r="E43" s="1"/>
      <c r="F43" s="1"/>
    </row>
    <row r="44" spans="2:8" ht="18" customHeight="1" x14ac:dyDescent="0.45">
      <c r="B44" s="33" t="s">
        <v>387</v>
      </c>
      <c r="C44" s="34">
        <f>D32</f>
        <v>2191.6412323916948</v>
      </c>
      <c r="D44" s="34"/>
      <c r="E44" s="34"/>
      <c r="F44" s="34"/>
      <c r="G44" s="34"/>
      <c r="H44" s="34"/>
    </row>
    <row r="45" spans="2:8" ht="18" customHeight="1" x14ac:dyDescent="0.45">
      <c r="B45" s="49" t="s">
        <v>388</v>
      </c>
      <c r="C45" s="50">
        <f>H38</f>
        <v>8423.9000075953809</v>
      </c>
      <c r="D45" s="50"/>
      <c r="E45" s="50"/>
      <c r="F45" s="50"/>
      <c r="G45" s="50"/>
      <c r="H45" s="50"/>
    </row>
    <row r="46" spans="2:8" ht="18" customHeight="1" x14ac:dyDescent="0.45">
      <c r="B46" s="33" t="s">
        <v>389</v>
      </c>
      <c r="C46" s="34">
        <f>C44+C45</f>
        <v>10615.541239987077</v>
      </c>
      <c r="D46" s="34"/>
      <c r="E46" s="34"/>
      <c r="F46" s="34"/>
      <c r="G46" s="34"/>
      <c r="H46" s="34"/>
    </row>
    <row r="47" spans="2:8" ht="18" customHeight="1" x14ac:dyDescent="0.45">
      <c r="B47" s="49" t="s">
        <v>390</v>
      </c>
      <c r="C47" s="50">
        <f>D32+H41</f>
        <v>11318.256344345078</v>
      </c>
      <c r="D47" s="50"/>
      <c r="E47" s="50"/>
      <c r="F47" s="50"/>
      <c r="G47" s="50"/>
      <c r="H47" s="50"/>
    </row>
    <row r="48" spans="2:8" ht="18" customHeight="1" x14ac:dyDescent="0.45">
      <c r="B48" s="39" t="s">
        <v>391</v>
      </c>
      <c r="C48" s="43">
        <f>C45/C46</f>
        <v>0.7935440894774044</v>
      </c>
      <c r="D48" s="46"/>
      <c r="E48" s="46"/>
      <c r="F48" s="46"/>
      <c r="G48" s="46"/>
      <c r="H48" s="46"/>
    </row>
    <row r="49" spans="2:8" ht="6" customHeight="1" x14ac:dyDescent="0.45"/>
    <row r="50" spans="2:8" ht="18" customHeight="1" x14ac:dyDescent="0.45">
      <c r="B50" s="35" t="s">
        <v>392</v>
      </c>
      <c r="C50" s="38">
        <v>-850</v>
      </c>
      <c r="D50" s="38"/>
      <c r="E50" s="38"/>
      <c r="F50" s="38"/>
      <c r="G50" s="38"/>
      <c r="H50" s="38"/>
    </row>
    <row r="51" spans="2:8" ht="18" customHeight="1" x14ac:dyDescent="0.45">
      <c r="B51" s="39" t="s">
        <v>393</v>
      </c>
      <c r="C51" s="44">
        <v>-25</v>
      </c>
      <c r="D51" s="44"/>
      <c r="E51" s="44"/>
      <c r="F51" s="44"/>
      <c r="G51" s="44"/>
      <c r="H51" s="44"/>
    </row>
    <row r="52" spans="2:8" ht="18" customHeight="1" x14ac:dyDescent="0.45">
      <c r="B52" s="55" t="s">
        <v>394</v>
      </c>
      <c r="C52" s="56">
        <f>C46+C50+C51</f>
        <v>9740.5412399870766</v>
      </c>
      <c r="D52" s="56"/>
      <c r="E52" s="56"/>
      <c r="F52" s="56"/>
      <c r="G52" s="56"/>
      <c r="H52" s="56"/>
    </row>
    <row r="53" spans="2:8" ht="18" customHeight="1" x14ac:dyDescent="0.45">
      <c r="B53" s="57" t="s">
        <v>395</v>
      </c>
      <c r="C53" s="58">
        <f>C47+C50+C51</f>
        <v>10443.256344345078</v>
      </c>
      <c r="D53" s="58"/>
      <c r="E53" s="58"/>
      <c r="F53" s="58"/>
      <c r="G53" s="58"/>
      <c r="H53" s="58"/>
    </row>
    <row r="54" spans="2:8" ht="18" customHeight="1" x14ac:dyDescent="0.45">
      <c r="B54" s="35" t="s">
        <v>396</v>
      </c>
      <c r="C54" s="38">
        <v>157</v>
      </c>
      <c r="D54" s="38"/>
      <c r="E54" s="38"/>
      <c r="F54" s="38"/>
      <c r="G54" s="38"/>
      <c r="H54" s="38"/>
    </row>
    <row r="55" spans="2:8" ht="18" customHeight="1" x14ac:dyDescent="0.45">
      <c r="B55" s="57" t="s">
        <v>397</v>
      </c>
      <c r="C55" s="59">
        <f>C52/C54</f>
        <v>62.041663948962274</v>
      </c>
      <c r="D55" s="59"/>
      <c r="E55" s="59"/>
      <c r="F55" s="59"/>
      <c r="G55" s="59"/>
      <c r="H55" s="59"/>
    </row>
    <row r="56" spans="2:8" ht="18" customHeight="1" x14ac:dyDescent="0.45">
      <c r="B56" s="55" t="s">
        <v>398</v>
      </c>
      <c r="C56" s="60">
        <f>C53/C54</f>
        <v>66.517556333408137</v>
      </c>
      <c r="D56" s="60"/>
      <c r="E56" s="60"/>
      <c r="F56" s="60"/>
      <c r="G56" s="60"/>
      <c r="H56" s="60"/>
    </row>
    <row r="57" spans="2:8" ht="18" customHeight="1" x14ac:dyDescent="0.45">
      <c r="B57" s="39" t="s">
        <v>399</v>
      </c>
      <c r="C57" s="61">
        <v>60</v>
      </c>
      <c r="D57" s="61"/>
      <c r="E57" s="61"/>
      <c r="F57" s="61"/>
      <c r="G57" s="61"/>
      <c r="H57" s="61"/>
    </row>
    <row r="58" spans="2:8" ht="18" customHeight="1" x14ac:dyDescent="0.45">
      <c r="B58" s="35" t="s">
        <v>400</v>
      </c>
      <c r="C58" s="37">
        <f>(C57-C55)/C55</f>
        <v>-3.2907949577913008E-2</v>
      </c>
      <c r="D58" s="47"/>
      <c r="E58" s="47"/>
      <c r="F58" s="47"/>
      <c r="G58" s="47"/>
      <c r="H58" s="47"/>
    </row>
    <row r="59" spans="2:8" ht="18" customHeight="1" x14ac:dyDescent="0.45">
      <c r="B59" s="39" t="s">
        <v>401</v>
      </c>
      <c r="C59" s="43">
        <f>(C57-C56)/C56</f>
        <v>-9.7982498045177349E-2</v>
      </c>
      <c r="D59" s="46"/>
      <c r="E59" s="46"/>
      <c r="F59" s="46"/>
      <c r="G59" s="46"/>
      <c r="H59" s="46"/>
    </row>
    <row r="61" spans="2:8" ht="19.5" customHeight="1" x14ac:dyDescent="0.45">
      <c r="B61" s="1" t="s">
        <v>402</v>
      </c>
      <c r="C61" s="1"/>
      <c r="D61" s="1"/>
      <c r="E61" s="1"/>
      <c r="F61" s="1"/>
    </row>
    <row r="62" spans="2:8" ht="19.5" customHeight="1" x14ac:dyDescent="0.45">
      <c r="B62" s="62"/>
      <c r="C62" s="63" t="s">
        <v>403</v>
      </c>
      <c r="D62" s="48" t="s">
        <v>404</v>
      </c>
      <c r="E62" s="62" t="s">
        <v>405</v>
      </c>
    </row>
    <row r="63" spans="2:8" ht="18" customHeight="1" x14ac:dyDescent="0.45">
      <c r="B63" s="64" t="s">
        <v>374</v>
      </c>
      <c r="C63" s="65" t="s">
        <v>406</v>
      </c>
      <c r="D63" s="65" t="s">
        <v>144</v>
      </c>
      <c r="E63" s="65" t="s">
        <v>407</v>
      </c>
    </row>
    <row r="64" spans="2:8" ht="18" customHeight="1" x14ac:dyDescent="0.45">
      <c r="B64" s="66" t="s">
        <v>408</v>
      </c>
      <c r="C64" s="67" t="s">
        <v>409</v>
      </c>
      <c r="D64" s="67" t="s">
        <v>187</v>
      </c>
      <c r="E64" s="67" t="s">
        <v>226</v>
      </c>
    </row>
    <row r="65" spans="2:7" ht="18" customHeight="1" x14ac:dyDescent="0.45">
      <c r="B65" s="64" t="s">
        <v>410</v>
      </c>
      <c r="C65" s="68" t="s">
        <v>76</v>
      </c>
      <c r="D65" s="68" t="s">
        <v>84</v>
      </c>
      <c r="E65" s="68" t="s">
        <v>411</v>
      </c>
    </row>
    <row r="66" spans="2:7" ht="18" customHeight="1" x14ac:dyDescent="0.45">
      <c r="B66" s="66" t="s">
        <v>412</v>
      </c>
      <c r="C66" s="67" t="s">
        <v>226</v>
      </c>
      <c r="D66" s="67" t="s">
        <v>413</v>
      </c>
      <c r="E66" s="67" t="s">
        <v>51</v>
      </c>
    </row>
    <row r="67" spans="2:7" ht="18" customHeight="1" x14ac:dyDescent="0.45">
      <c r="B67" s="64" t="s">
        <v>414</v>
      </c>
      <c r="C67" s="68" t="s">
        <v>415</v>
      </c>
      <c r="D67" s="68" t="s">
        <v>416</v>
      </c>
      <c r="E67" s="68" t="s">
        <v>417</v>
      </c>
    </row>
    <row r="68" spans="2:7" ht="18" customHeight="1" x14ac:dyDescent="0.45">
      <c r="B68" s="66" t="s">
        <v>418</v>
      </c>
      <c r="C68" s="67" t="s">
        <v>419</v>
      </c>
      <c r="D68" s="67" t="s">
        <v>420</v>
      </c>
      <c r="E68" s="67" t="s">
        <v>421</v>
      </c>
    </row>
    <row r="69" spans="2:7" ht="18" customHeight="1" x14ac:dyDescent="0.45">
      <c r="B69" s="64" t="s">
        <v>422</v>
      </c>
      <c r="C69" s="68" t="s">
        <v>423</v>
      </c>
      <c r="D69" s="68" t="s">
        <v>424</v>
      </c>
      <c r="E69" s="68" t="s">
        <v>425</v>
      </c>
    </row>
    <row r="70" spans="2:7" ht="18" customHeight="1" x14ac:dyDescent="0.45">
      <c r="B70" s="66" t="s">
        <v>426</v>
      </c>
      <c r="C70" s="67" t="s">
        <v>427</v>
      </c>
      <c r="D70" s="67" t="s">
        <v>428</v>
      </c>
      <c r="E70" s="67" t="s">
        <v>429</v>
      </c>
    </row>
    <row r="72" spans="2:7" ht="19.5" customHeight="1" x14ac:dyDescent="0.45">
      <c r="B72" s="1" t="s">
        <v>430</v>
      </c>
      <c r="C72" s="1"/>
      <c r="D72" s="1"/>
      <c r="E72" s="1"/>
      <c r="F72" s="1"/>
    </row>
    <row r="73" spans="2:7" ht="18" customHeight="1" x14ac:dyDescent="0.45">
      <c r="B73" s="69" t="s">
        <v>431</v>
      </c>
      <c r="C73" s="70" t="s">
        <v>217</v>
      </c>
      <c r="D73" s="70" t="s">
        <v>432</v>
      </c>
      <c r="E73" s="70" t="s">
        <v>144</v>
      </c>
      <c r="F73" s="70" t="s">
        <v>433</v>
      </c>
      <c r="G73" s="70" t="s">
        <v>434</v>
      </c>
    </row>
    <row r="74" spans="2:7" ht="15.75" customHeight="1" x14ac:dyDescent="0.45">
      <c r="B74" s="71" t="s">
        <v>435</v>
      </c>
    </row>
    <row r="75" spans="2:7" ht="15.75" customHeight="1" x14ac:dyDescent="0.45">
      <c r="B75" s="48" t="s">
        <v>409</v>
      </c>
      <c r="C75" s="72" t="s">
        <v>436</v>
      </c>
      <c r="D75" s="73" t="s">
        <v>437</v>
      </c>
      <c r="E75" s="72" t="s">
        <v>438</v>
      </c>
      <c r="F75" s="73" t="s">
        <v>439</v>
      </c>
      <c r="G75" s="72" t="s">
        <v>440</v>
      </c>
    </row>
    <row r="76" spans="2:7" ht="15.75" customHeight="1" x14ac:dyDescent="0.45">
      <c r="B76" s="48" t="s">
        <v>187</v>
      </c>
      <c r="C76" s="73" t="s">
        <v>441</v>
      </c>
      <c r="D76" s="72" t="s">
        <v>442</v>
      </c>
      <c r="E76" s="74" t="s">
        <v>443</v>
      </c>
      <c r="F76" s="72" t="s">
        <v>444</v>
      </c>
      <c r="G76" s="73" t="s">
        <v>445</v>
      </c>
    </row>
    <row r="77" spans="2:7" ht="15.75" customHeight="1" x14ac:dyDescent="0.45">
      <c r="B77" s="48" t="s">
        <v>226</v>
      </c>
      <c r="C77" s="72" t="s">
        <v>446</v>
      </c>
      <c r="D77" s="73" t="s">
        <v>447</v>
      </c>
      <c r="E77" s="72" t="s">
        <v>442</v>
      </c>
      <c r="F77" s="73" t="s">
        <v>448</v>
      </c>
      <c r="G77" s="72" t="s">
        <v>449</v>
      </c>
    </row>
    <row r="79" spans="2:7" ht="15.75" customHeight="1" x14ac:dyDescent="0.45">
      <c r="B79" s="75" t="s">
        <v>450</v>
      </c>
    </row>
  </sheetData>
  <mergeCells count="10">
    <mergeCell ref="B27:F27"/>
    <mergeCell ref="B34:F34"/>
    <mergeCell ref="B43:F43"/>
    <mergeCell ref="B61:F61"/>
    <mergeCell ref="B72:F72"/>
    <mergeCell ref="B1:I1"/>
    <mergeCell ref="B2:I2"/>
    <mergeCell ref="B6:F6"/>
    <mergeCell ref="B10:F10"/>
    <mergeCell ref="B17:F17"/>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E44AD"/>
  </sheetPr>
  <dimension ref="B1:K26"/>
  <sheetViews>
    <sheetView showGridLines="0" zoomScaleNormal="100" workbookViewId="0">
      <pane xSplit="2" ySplit="4" topLeftCell="C5" activePane="bottomRight" state="frozen"/>
      <selection pane="topRight" activeCell="C1" sqref="C1"/>
      <selection pane="bottomLeft" activeCell="A5" sqref="A5"/>
      <selection pane="bottomRight" activeCell="L1" sqref="L1"/>
    </sheetView>
  </sheetViews>
  <sheetFormatPr defaultColWidth="8.6640625" defaultRowHeight="14.25" x14ac:dyDescent="0.45"/>
  <cols>
    <col min="1" max="1" width="3" customWidth="1"/>
    <col min="2" max="2" width="24" customWidth="1"/>
    <col min="3" max="10" width="12" customWidth="1"/>
    <col min="11" max="11" width="6.06640625" customWidth="1"/>
  </cols>
  <sheetData>
    <row r="1" spans="2:11" ht="25.5" customHeight="1" x14ac:dyDescent="0.45">
      <c r="B1" s="148" t="s">
        <v>451</v>
      </c>
      <c r="C1" s="148"/>
      <c r="D1" s="148"/>
      <c r="E1" s="148"/>
      <c r="F1" s="148"/>
      <c r="G1" s="148"/>
      <c r="H1" s="148"/>
      <c r="I1" s="148"/>
      <c r="J1" s="148"/>
    </row>
    <row r="2" spans="2:11" ht="6" customHeight="1" x14ac:dyDescent="0.45"/>
    <row r="4" spans="2:11" ht="27.75" customHeight="1" x14ac:dyDescent="0.45">
      <c r="B4" s="76" t="s">
        <v>452</v>
      </c>
      <c r="C4" s="76" t="s">
        <v>453</v>
      </c>
      <c r="D4" s="76" t="s">
        <v>306</v>
      </c>
      <c r="E4" s="76" t="s">
        <v>454</v>
      </c>
      <c r="F4" s="76" t="s">
        <v>455</v>
      </c>
      <c r="G4" s="76" t="s">
        <v>456</v>
      </c>
      <c r="H4" s="76" t="s">
        <v>457</v>
      </c>
      <c r="I4" s="76" t="s">
        <v>458</v>
      </c>
      <c r="J4" s="76" t="s">
        <v>459</v>
      </c>
      <c r="K4" s="76" t="s">
        <v>460</v>
      </c>
    </row>
    <row r="5" spans="2:11" ht="19.5" customHeight="1" x14ac:dyDescent="0.45">
      <c r="B5" s="64" t="s">
        <v>461</v>
      </c>
      <c r="C5" s="64" t="s">
        <v>462</v>
      </c>
      <c r="D5" s="77" t="s">
        <v>463</v>
      </c>
      <c r="E5" s="77" t="s">
        <v>464</v>
      </c>
      <c r="F5" s="77" t="s">
        <v>465</v>
      </c>
      <c r="G5" s="77" t="s">
        <v>466</v>
      </c>
      <c r="H5" s="77" t="s">
        <v>467</v>
      </c>
      <c r="I5" s="77" t="s">
        <v>280</v>
      </c>
      <c r="J5" s="77" t="s">
        <v>468</v>
      </c>
      <c r="K5" s="77" t="s">
        <v>469</v>
      </c>
    </row>
    <row r="6" spans="2:11" ht="19.5" customHeight="1" x14ac:dyDescent="0.45">
      <c r="B6" s="66" t="s">
        <v>470</v>
      </c>
      <c r="C6" s="66" t="s">
        <v>471</v>
      </c>
      <c r="D6" s="78" t="s">
        <v>472</v>
      </c>
      <c r="E6" s="78" t="s">
        <v>217</v>
      </c>
      <c r="F6" s="78" t="s">
        <v>473</v>
      </c>
      <c r="G6" s="78" t="s">
        <v>474</v>
      </c>
      <c r="H6" s="78" t="s">
        <v>475</v>
      </c>
      <c r="I6" s="78" t="s">
        <v>283</v>
      </c>
      <c r="J6" s="78" t="s">
        <v>476</v>
      </c>
      <c r="K6" s="78" t="s">
        <v>124</v>
      </c>
    </row>
    <row r="7" spans="2:11" ht="19.5" customHeight="1" x14ac:dyDescent="0.45">
      <c r="B7" s="64" t="s">
        <v>477</v>
      </c>
      <c r="C7" s="64" t="s">
        <v>471</v>
      </c>
      <c r="D7" s="77" t="s">
        <v>478</v>
      </c>
      <c r="E7" s="77" t="s">
        <v>479</v>
      </c>
      <c r="F7" s="77" t="s">
        <v>480</v>
      </c>
      <c r="G7" s="77" t="s">
        <v>480</v>
      </c>
      <c r="H7" s="77" t="s">
        <v>481</v>
      </c>
      <c r="I7" s="77" t="s">
        <v>482</v>
      </c>
      <c r="J7" s="77" t="s">
        <v>483</v>
      </c>
      <c r="K7" s="77" t="s">
        <v>484</v>
      </c>
    </row>
    <row r="8" spans="2:11" ht="19.5" customHeight="1" x14ac:dyDescent="0.45">
      <c r="B8" s="66" t="s">
        <v>485</v>
      </c>
      <c r="C8" s="66" t="s">
        <v>486</v>
      </c>
      <c r="D8" s="78" t="s">
        <v>487</v>
      </c>
      <c r="E8" s="78" t="s">
        <v>406</v>
      </c>
      <c r="F8" s="78" t="s">
        <v>488</v>
      </c>
      <c r="G8" s="78" t="s">
        <v>489</v>
      </c>
      <c r="H8" s="78" t="s">
        <v>490</v>
      </c>
      <c r="I8" s="78" t="s">
        <v>491</v>
      </c>
      <c r="J8" s="78" t="s">
        <v>492</v>
      </c>
      <c r="K8" s="78" t="s">
        <v>413</v>
      </c>
    </row>
    <row r="9" spans="2:11" ht="19.5" customHeight="1" x14ac:dyDescent="0.45">
      <c r="B9" s="64" t="s">
        <v>493</v>
      </c>
      <c r="C9" s="64" t="s">
        <v>494</v>
      </c>
      <c r="D9" s="77" t="s">
        <v>495</v>
      </c>
      <c r="E9" s="77" t="s">
        <v>144</v>
      </c>
      <c r="F9" s="77" t="s">
        <v>496</v>
      </c>
      <c r="G9" s="77" t="s">
        <v>497</v>
      </c>
      <c r="H9" s="77" t="s">
        <v>498</v>
      </c>
      <c r="I9" s="77" t="s">
        <v>499</v>
      </c>
      <c r="J9" s="77" t="s">
        <v>500</v>
      </c>
      <c r="K9" s="77" t="s">
        <v>501</v>
      </c>
    </row>
    <row r="10" spans="2:11" ht="6" customHeight="1" x14ac:dyDescent="0.45"/>
    <row r="11" spans="2:11" ht="18" customHeight="1" x14ac:dyDescent="0.45">
      <c r="B11" s="79" t="s">
        <v>502</v>
      </c>
      <c r="D11" s="80" t="s">
        <v>503</v>
      </c>
      <c r="E11" s="80" t="s">
        <v>504</v>
      </c>
      <c r="F11" s="80" t="s">
        <v>505</v>
      </c>
      <c r="G11" s="80" t="s">
        <v>506</v>
      </c>
      <c r="H11" s="80" t="s">
        <v>507</v>
      </c>
      <c r="I11" s="80" t="s">
        <v>508</v>
      </c>
      <c r="J11" s="80" t="s">
        <v>479</v>
      </c>
    </row>
    <row r="12" spans="2:11" ht="18" customHeight="1" x14ac:dyDescent="0.45">
      <c r="B12" s="79" t="s">
        <v>509</v>
      </c>
      <c r="D12" s="80" t="s">
        <v>217</v>
      </c>
      <c r="E12" s="80" t="s">
        <v>496</v>
      </c>
      <c r="F12" s="80" t="s">
        <v>497</v>
      </c>
      <c r="G12" s="80" t="s">
        <v>467</v>
      </c>
      <c r="H12" s="80" t="s">
        <v>499</v>
      </c>
      <c r="I12" s="80" t="s">
        <v>468</v>
      </c>
      <c r="J12" s="80" t="s">
        <v>469</v>
      </c>
    </row>
    <row r="13" spans="2:11" ht="18" customHeight="1" x14ac:dyDescent="0.45">
      <c r="B13" s="79" t="s">
        <v>510</v>
      </c>
      <c r="D13" s="80" t="s">
        <v>511</v>
      </c>
      <c r="E13" s="80" t="s">
        <v>512</v>
      </c>
      <c r="F13" s="80" t="s">
        <v>513</v>
      </c>
      <c r="G13" s="80" t="s">
        <v>514</v>
      </c>
      <c r="H13" s="80" t="s">
        <v>515</v>
      </c>
      <c r="I13" s="80" t="s">
        <v>516</v>
      </c>
      <c r="J13" s="80" t="s">
        <v>517</v>
      </c>
    </row>
    <row r="14" spans="2:11" ht="18" customHeight="1" x14ac:dyDescent="0.45">
      <c r="B14" s="81" t="s">
        <v>518</v>
      </c>
      <c r="D14" s="82" t="s">
        <v>519</v>
      </c>
      <c r="E14" s="82" t="s">
        <v>520</v>
      </c>
      <c r="F14" s="82" t="s">
        <v>521</v>
      </c>
      <c r="G14" s="82" t="s">
        <v>522</v>
      </c>
      <c r="H14" s="82" t="s">
        <v>523</v>
      </c>
      <c r="I14" s="82" t="s">
        <v>524</v>
      </c>
      <c r="J14" s="82" t="s">
        <v>100</v>
      </c>
    </row>
    <row r="15" spans="2:11" ht="18" customHeight="1" x14ac:dyDescent="0.45">
      <c r="B15" s="83" t="s">
        <v>525</v>
      </c>
      <c r="D15" s="84"/>
      <c r="E15" s="84"/>
      <c r="F15" s="84"/>
      <c r="G15" s="84"/>
      <c r="H15" s="84" t="s">
        <v>286</v>
      </c>
      <c r="I15" s="84"/>
      <c r="J15" s="84"/>
    </row>
    <row r="16" spans="2:11" ht="7.5" customHeight="1" x14ac:dyDescent="0.45"/>
    <row r="17" spans="2:10" ht="21.75" customHeight="1" x14ac:dyDescent="0.45">
      <c r="B17" s="2" t="s">
        <v>526</v>
      </c>
      <c r="C17" s="2"/>
      <c r="D17" s="2"/>
      <c r="E17" s="2"/>
      <c r="F17" s="2"/>
      <c r="G17" s="2"/>
      <c r="H17" s="2"/>
      <c r="I17" s="2"/>
      <c r="J17" s="2"/>
    </row>
    <row r="18" spans="2:10" ht="19.5" customHeight="1" x14ac:dyDescent="0.45">
      <c r="B18" s="85" t="s">
        <v>527</v>
      </c>
      <c r="C18" s="85" t="s">
        <v>528</v>
      </c>
      <c r="D18" s="85" t="s">
        <v>529</v>
      </c>
      <c r="E18" s="85" t="s">
        <v>530</v>
      </c>
      <c r="F18" s="85" t="s">
        <v>531</v>
      </c>
      <c r="G18" s="85" t="s">
        <v>458</v>
      </c>
      <c r="H18" s="85" t="s">
        <v>459</v>
      </c>
      <c r="I18" s="85" t="s">
        <v>532</v>
      </c>
    </row>
    <row r="19" spans="2:10" ht="19.5" customHeight="1" x14ac:dyDescent="0.45">
      <c r="B19" s="39" t="s">
        <v>533</v>
      </c>
      <c r="C19" s="86" t="s">
        <v>193</v>
      </c>
      <c r="D19" s="86" t="s">
        <v>534</v>
      </c>
      <c r="E19" s="86" t="s">
        <v>535</v>
      </c>
      <c r="F19" s="86" t="s">
        <v>536</v>
      </c>
      <c r="G19" s="86" t="s">
        <v>537</v>
      </c>
      <c r="H19" s="86" t="s">
        <v>538</v>
      </c>
      <c r="I19" s="86" t="s">
        <v>539</v>
      </c>
    </row>
    <row r="20" spans="2:10" ht="19.5" customHeight="1" x14ac:dyDescent="0.45">
      <c r="B20" s="35" t="s">
        <v>540</v>
      </c>
      <c r="C20" s="87" t="s">
        <v>541</v>
      </c>
      <c r="D20" s="87" t="s">
        <v>542</v>
      </c>
      <c r="E20" s="87" t="s">
        <v>543</v>
      </c>
      <c r="F20" s="87" t="s">
        <v>544</v>
      </c>
      <c r="G20" s="87" t="s">
        <v>545</v>
      </c>
      <c r="H20" s="87" t="s">
        <v>546</v>
      </c>
      <c r="I20" s="87" t="s">
        <v>547</v>
      </c>
    </row>
    <row r="21" spans="2:10" ht="19.5" customHeight="1" x14ac:dyDescent="0.45">
      <c r="B21" s="88" t="s">
        <v>548</v>
      </c>
      <c r="C21" s="89" t="s">
        <v>549</v>
      </c>
      <c r="D21" s="89" t="s">
        <v>550</v>
      </c>
      <c r="E21" s="89" t="s">
        <v>551</v>
      </c>
      <c r="F21" s="89" t="s">
        <v>552</v>
      </c>
      <c r="G21" s="89" t="s">
        <v>523</v>
      </c>
      <c r="H21" s="89" t="s">
        <v>553</v>
      </c>
      <c r="I21" s="89" t="s">
        <v>554</v>
      </c>
    </row>
    <row r="22" spans="2:10" ht="19.5" customHeight="1" x14ac:dyDescent="0.45">
      <c r="B22" s="35" t="s">
        <v>555</v>
      </c>
      <c r="C22" s="87" t="s">
        <v>556</v>
      </c>
      <c r="D22" s="87" t="s">
        <v>557</v>
      </c>
      <c r="E22" s="87" t="s">
        <v>558</v>
      </c>
      <c r="F22" s="87" t="s">
        <v>522</v>
      </c>
      <c r="G22" s="87" t="s">
        <v>559</v>
      </c>
      <c r="H22" s="87" t="s">
        <v>560</v>
      </c>
      <c r="I22" s="87" t="s">
        <v>561</v>
      </c>
    </row>
    <row r="23" spans="2:10" ht="19.5" customHeight="1" x14ac:dyDescent="0.45">
      <c r="B23" s="39" t="s">
        <v>562</v>
      </c>
      <c r="C23" s="86" t="s">
        <v>563</v>
      </c>
      <c r="D23" s="86" t="s">
        <v>564</v>
      </c>
      <c r="E23" s="86" t="s">
        <v>565</v>
      </c>
      <c r="F23" s="86" t="s">
        <v>566</v>
      </c>
      <c r="G23" s="86" t="s">
        <v>286</v>
      </c>
      <c r="H23" s="86" t="s">
        <v>567</v>
      </c>
      <c r="I23" s="86" t="s">
        <v>568</v>
      </c>
    </row>
    <row r="26" spans="2:10" ht="43.5" customHeight="1" x14ac:dyDescent="0.45">
      <c r="B26" s="150" t="s">
        <v>569</v>
      </c>
      <c r="C26" s="150"/>
      <c r="D26" s="150"/>
      <c r="E26" s="150"/>
      <c r="F26" s="150"/>
      <c r="G26" s="150"/>
      <c r="H26" s="150"/>
      <c r="I26" s="150"/>
      <c r="J26" s="150"/>
    </row>
  </sheetData>
  <mergeCells count="3">
    <mergeCell ref="B1:J1"/>
    <mergeCell ref="B17:J17"/>
    <mergeCell ref="B26:J26"/>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74C3C"/>
  </sheetPr>
  <dimension ref="B1:I83"/>
  <sheetViews>
    <sheetView showGridLines="0" zoomScaleNormal="100" workbookViewId="0">
      <pane xSplit="2" ySplit="5" topLeftCell="C63" activePane="bottomRight" state="frozen"/>
      <selection pane="topRight" activeCell="C1" sqref="C1"/>
      <selection pane="bottomLeft" activeCell="A6" sqref="A6"/>
      <selection pane="bottomRight"/>
    </sheetView>
  </sheetViews>
  <sheetFormatPr defaultColWidth="8.6640625" defaultRowHeight="14.25" x14ac:dyDescent="0.45"/>
  <cols>
    <col min="1" max="1" width="3" customWidth="1"/>
    <col min="2" max="2" width="36" customWidth="1"/>
    <col min="3" max="9" width="13" customWidth="1"/>
    <col min="10" max="10" width="3" customWidth="1"/>
  </cols>
  <sheetData>
    <row r="1" spans="2:9" ht="25.5" customHeight="1" x14ac:dyDescent="0.45">
      <c r="B1" s="148" t="s">
        <v>570</v>
      </c>
      <c r="C1" s="148"/>
      <c r="D1" s="148"/>
      <c r="E1" s="148"/>
      <c r="F1" s="148"/>
      <c r="G1" s="148"/>
      <c r="H1" s="148"/>
      <c r="I1" s="148"/>
    </row>
    <row r="2" spans="2:9" ht="18" customHeight="1" x14ac:dyDescent="0.45">
      <c r="B2" s="149" t="s">
        <v>571</v>
      </c>
      <c r="C2" s="149"/>
      <c r="D2" s="149"/>
      <c r="E2" s="149"/>
      <c r="F2" s="149"/>
      <c r="G2" s="149"/>
      <c r="H2" s="149"/>
      <c r="I2" s="149"/>
    </row>
    <row r="5" spans="2:9" ht="21.75" customHeight="1" x14ac:dyDescent="0.45">
      <c r="B5" s="48"/>
      <c r="C5" s="48" t="s">
        <v>353</v>
      </c>
      <c r="D5" s="48" t="s">
        <v>354</v>
      </c>
      <c r="E5" s="48" t="s">
        <v>355</v>
      </c>
      <c r="F5" s="48" t="s">
        <v>356</v>
      </c>
      <c r="G5" s="48" t="s">
        <v>357</v>
      </c>
      <c r="H5" s="48" t="s">
        <v>572</v>
      </c>
    </row>
    <row r="6" spans="2:9" ht="19.5" customHeight="1" x14ac:dyDescent="0.45">
      <c r="B6" s="1" t="s">
        <v>573</v>
      </c>
      <c r="C6" s="1"/>
      <c r="D6" s="1"/>
      <c r="E6" s="1"/>
      <c r="F6" s="1"/>
    </row>
    <row r="7" spans="2:9" ht="18" customHeight="1" x14ac:dyDescent="0.45">
      <c r="B7" s="90" t="s">
        <v>574</v>
      </c>
      <c r="C7" s="61">
        <v>60</v>
      </c>
      <c r="D7" s="61"/>
      <c r="E7" s="61"/>
      <c r="F7" s="61"/>
      <c r="G7" s="61"/>
      <c r="H7" s="61"/>
    </row>
    <row r="8" spans="2:9" ht="18" customHeight="1" x14ac:dyDescent="0.45">
      <c r="B8" s="91" t="s">
        <v>396</v>
      </c>
      <c r="C8" s="38">
        <v>157</v>
      </c>
      <c r="D8" s="38"/>
      <c r="E8" s="38"/>
      <c r="F8" s="38"/>
      <c r="G8" s="38"/>
      <c r="H8" s="38"/>
    </row>
    <row r="9" spans="2:9" ht="18" customHeight="1" x14ac:dyDescent="0.45">
      <c r="B9" s="33" t="s">
        <v>575</v>
      </c>
      <c r="C9" s="34">
        <f>C7*C8</f>
        <v>9420</v>
      </c>
      <c r="D9" s="34"/>
      <c r="E9" s="34"/>
      <c r="F9" s="34"/>
      <c r="G9" s="34"/>
      <c r="H9" s="34"/>
    </row>
    <row r="10" spans="2:9" ht="18" customHeight="1" x14ac:dyDescent="0.45">
      <c r="B10" s="91" t="s">
        <v>576</v>
      </c>
      <c r="C10" s="38">
        <v>850</v>
      </c>
      <c r="D10" s="38"/>
      <c r="E10" s="38"/>
      <c r="F10" s="38"/>
      <c r="G10" s="38"/>
      <c r="H10" s="38"/>
    </row>
    <row r="11" spans="2:9" ht="18" customHeight="1" x14ac:dyDescent="0.45">
      <c r="B11" s="33" t="s">
        <v>577</v>
      </c>
      <c r="C11" s="34">
        <f>C9+C10</f>
        <v>10270</v>
      </c>
      <c r="D11" s="34"/>
      <c r="E11" s="34"/>
      <c r="F11" s="34"/>
      <c r="G11" s="34"/>
      <c r="H11" s="34"/>
    </row>
    <row r="12" spans="2:9" ht="18" customHeight="1" x14ac:dyDescent="0.45">
      <c r="B12" s="91" t="s">
        <v>578</v>
      </c>
      <c r="C12" s="38">
        <v>769</v>
      </c>
      <c r="D12" s="38"/>
      <c r="E12" s="38"/>
      <c r="F12" s="38"/>
      <c r="G12" s="38"/>
      <c r="H12" s="38"/>
    </row>
    <row r="13" spans="2:9" ht="18" customHeight="1" x14ac:dyDescent="0.45">
      <c r="B13" s="33" t="s">
        <v>579</v>
      </c>
      <c r="C13" s="92">
        <f>C11/C12</f>
        <v>13.355006501950585</v>
      </c>
      <c r="D13" s="92"/>
      <c r="E13" s="92"/>
      <c r="F13" s="92"/>
      <c r="G13" s="92"/>
      <c r="H13" s="92"/>
    </row>
    <row r="14" spans="2:9" ht="18" customHeight="1" x14ac:dyDescent="0.45">
      <c r="B14" s="35" t="s">
        <v>580</v>
      </c>
      <c r="C14" s="51">
        <f>C9*0.03</f>
        <v>282.59999999999997</v>
      </c>
      <c r="D14" s="38"/>
      <c r="E14" s="38"/>
      <c r="F14" s="38"/>
      <c r="G14" s="38"/>
      <c r="H14" s="38"/>
    </row>
    <row r="16" spans="2:9" ht="19.5" customHeight="1" x14ac:dyDescent="0.45">
      <c r="B16" s="1" t="s">
        <v>581</v>
      </c>
      <c r="C16" s="1"/>
      <c r="D16" s="1"/>
      <c r="E16" s="1"/>
      <c r="F16" s="1"/>
    </row>
    <row r="17" spans="2:8" ht="18" customHeight="1" x14ac:dyDescent="0.45">
      <c r="B17" s="90" t="s">
        <v>582</v>
      </c>
      <c r="C17" s="44">
        <f>C11*0.55</f>
        <v>5648.5000000000009</v>
      </c>
      <c r="D17" s="44"/>
      <c r="E17" s="44"/>
      <c r="F17" s="44"/>
      <c r="G17" s="44"/>
      <c r="H17" s="44"/>
    </row>
    <row r="18" spans="2:8" ht="18" customHeight="1" x14ac:dyDescent="0.45">
      <c r="B18" s="91" t="s">
        <v>583</v>
      </c>
      <c r="C18" s="38">
        <f>C11*0.1</f>
        <v>1027</v>
      </c>
      <c r="D18" s="38"/>
      <c r="E18" s="38"/>
      <c r="F18" s="38"/>
      <c r="G18" s="38"/>
      <c r="H18" s="38"/>
    </row>
    <row r="19" spans="2:8" ht="18" customHeight="1" x14ac:dyDescent="0.45">
      <c r="B19" s="33" t="s">
        <v>584</v>
      </c>
      <c r="C19" s="34">
        <f>C17+C18</f>
        <v>6675.5000000000009</v>
      </c>
      <c r="D19" s="34"/>
      <c r="E19" s="34"/>
      <c r="F19" s="34"/>
      <c r="G19" s="34"/>
      <c r="H19" s="34"/>
    </row>
    <row r="20" spans="2:8" ht="18" customHeight="1" x14ac:dyDescent="0.45">
      <c r="B20" s="91" t="s">
        <v>585</v>
      </c>
      <c r="C20" s="38">
        <f>C11*0.35</f>
        <v>3594.4999999999995</v>
      </c>
      <c r="D20" s="38"/>
      <c r="E20" s="38"/>
      <c r="F20" s="38"/>
      <c r="G20" s="38"/>
      <c r="H20" s="38"/>
    </row>
    <row r="21" spans="2:8" ht="18" customHeight="1" x14ac:dyDescent="0.45">
      <c r="B21" s="33" t="s">
        <v>586</v>
      </c>
      <c r="C21" s="34">
        <f>C19+C20</f>
        <v>10270</v>
      </c>
      <c r="D21" s="34"/>
      <c r="E21" s="34"/>
      <c r="F21" s="34"/>
      <c r="G21" s="34"/>
      <c r="H21" s="34"/>
    </row>
    <row r="22" spans="2:8" ht="18" customHeight="1" x14ac:dyDescent="0.45">
      <c r="B22" s="35" t="s">
        <v>587</v>
      </c>
      <c r="C22" s="51">
        <f>C9</f>
        <v>9420</v>
      </c>
      <c r="D22" s="38"/>
      <c r="E22" s="38"/>
      <c r="F22" s="38"/>
      <c r="G22" s="38"/>
      <c r="H22" s="38"/>
    </row>
    <row r="23" spans="2:8" ht="18" customHeight="1" x14ac:dyDescent="0.45">
      <c r="B23" s="39" t="s">
        <v>588</v>
      </c>
      <c r="C23" s="40">
        <f>C10</f>
        <v>850</v>
      </c>
      <c r="D23" s="44"/>
      <c r="E23" s="44"/>
      <c r="F23" s="44"/>
      <c r="G23" s="44"/>
      <c r="H23" s="44"/>
    </row>
    <row r="24" spans="2:8" ht="18" customHeight="1" x14ac:dyDescent="0.45">
      <c r="B24" s="35" t="s">
        <v>589</v>
      </c>
      <c r="C24" s="51">
        <f>C11*0.02</f>
        <v>205.4</v>
      </c>
      <c r="D24" s="38"/>
      <c r="E24" s="38"/>
      <c r="F24" s="38"/>
      <c r="G24" s="38"/>
      <c r="H24" s="38"/>
    </row>
    <row r="25" spans="2:8" ht="18" customHeight="1" x14ac:dyDescent="0.45">
      <c r="B25" s="33" t="s">
        <v>590</v>
      </c>
      <c r="C25" s="34">
        <f>C22+C23+C24</f>
        <v>10475.4</v>
      </c>
      <c r="D25" s="34"/>
      <c r="E25" s="34"/>
      <c r="F25" s="34"/>
      <c r="G25" s="34"/>
      <c r="H25" s="34"/>
    </row>
    <row r="27" spans="2:8" ht="19.5" customHeight="1" x14ac:dyDescent="0.45">
      <c r="B27" s="1" t="s">
        <v>591</v>
      </c>
      <c r="C27" s="1"/>
      <c r="D27" s="1"/>
      <c r="E27" s="1"/>
      <c r="F27" s="1"/>
    </row>
    <row r="28" spans="2:8" ht="18" customHeight="1" x14ac:dyDescent="0.45">
      <c r="B28" s="93" t="s">
        <v>306</v>
      </c>
      <c r="C28" s="94">
        <v>3551</v>
      </c>
      <c r="D28" s="94">
        <f>C28*1.035</f>
        <v>3675.2849999999999</v>
      </c>
      <c r="E28" s="94">
        <f>D28*1.035</f>
        <v>3803.9199749999993</v>
      </c>
      <c r="F28" s="94">
        <f>E28*1.035</f>
        <v>3937.0571741249992</v>
      </c>
      <c r="G28" s="94">
        <f>F28*1.035</f>
        <v>4074.8541752193737</v>
      </c>
      <c r="H28" s="94">
        <f>G28*1.035</f>
        <v>4217.4740713520514</v>
      </c>
    </row>
    <row r="29" spans="2:8" ht="18" customHeight="1" x14ac:dyDescent="0.45">
      <c r="B29" s="91" t="s">
        <v>592</v>
      </c>
      <c r="C29" s="47">
        <v>0.183</v>
      </c>
      <c r="D29" s="47">
        <v>0.186</v>
      </c>
      <c r="E29" s="47">
        <v>0.19</v>
      </c>
      <c r="F29" s="47">
        <v>0.193</v>
      </c>
      <c r="G29" s="47">
        <v>0.19500000000000001</v>
      </c>
      <c r="H29" s="47">
        <v>0.19700000000000001</v>
      </c>
    </row>
    <row r="30" spans="2:8" ht="18" customHeight="1" x14ac:dyDescent="0.45">
      <c r="B30" s="33" t="s">
        <v>363</v>
      </c>
      <c r="C30" s="34">
        <f t="shared" ref="C30:H30" si="0">C28*C29</f>
        <v>649.83299999999997</v>
      </c>
      <c r="D30" s="34">
        <f t="shared" si="0"/>
        <v>683.60300999999993</v>
      </c>
      <c r="E30" s="34">
        <f t="shared" si="0"/>
        <v>722.74479524999992</v>
      </c>
      <c r="F30" s="34">
        <f t="shared" si="0"/>
        <v>759.8520346061249</v>
      </c>
      <c r="G30" s="34">
        <f t="shared" si="0"/>
        <v>794.59656416777784</v>
      </c>
      <c r="H30" s="34">
        <f t="shared" si="0"/>
        <v>830.84239205635413</v>
      </c>
    </row>
    <row r="31" spans="2:8" ht="18" customHeight="1" x14ac:dyDescent="0.45">
      <c r="B31" s="35" t="s">
        <v>369</v>
      </c>
      <c r="C31" s="51">
        <f t="shared" ref="C31:H31" si="1">-C28*0.045</f>
        <v>-159.79499999999999</v>
      </c>
      <c r="D31" s="51">
        <f t="shared" si="1"/>
        <v>-165.38782499999999</v>
      </c>
      <c r="E31" s="51">
        <f t="shared" si="1"/>
        <v>-171.17639887499996</v>
      </c>
      <c r="F31" s="51">
        <f t="shared" si="1"/>
        <v>-177.16757283562495</v>
      </c>
      <c r="G31" s="51">
        <f t="shared" si="1"/>
        <v>-183.36843788487181</v>
      </c>
      <c r="H31" s="51">
        <f t="shared" si="1"/>
        <v>-189.78633321084232</v>
      </c>
    </row>
    <row r="32" spans="2:8" ht="18" customHeight="1" x14ac:dyDescent="0.45">
      <c r="B32" s="39" t="s">
        <v>593</v>
      </c>
      <c r="C32" s="40">
        <f t="shared" ref="C32:H32" si="2">-C28*(C29-0.042)*0.235</f>
        <v>-117.66238499999999</v>
      </c>
      <c r="D32" s="40">
        <f t="shared" si="2"/>
        <v>-124.37164439999997</v>
      </c>
      <c r="E32" s="40">
        <f t="shared" si="2"/>
        <v>-132.30033673049996</v>
      </c>
      <c r="F32" s="40">
        <f t="shared" si="2"/>
        <v>-139.70647382382558</v>
      </c>
      <c r="G32" s="40">
        <f t="shared" si="2"/>
        <v>-146.51138187001257</v>
      </c>
      <c r="H32" s="40">
        <f t="shared" si="2"/>
        <v>-153.62149304899845</v>
      </c>
    </row>
    <row r="33" spans="2:8" ht="18" customHeight="1" x14ac:dyDescent="0.45">
      <c r="B33" s="35" t="s">
        <v>594</v>
      </c>
      <c r="C33" s="51">
        <f t="shared" ref="C33:H33" si="3">-C28*0.005</f>
        <v>-17.754999999999999</v>
      </c>
      <c r="D33" s="51">
        <f t="shared" si="3"/>
        <v>-18.376425000000001</v>
      </c>
      <c r="E33" s="51">
        <f t="shared" si="3"/>
        <v>-19.019599874999997</v>
      </c>
      <c r="F33" s="51">
        <f t="shared" si="3"/>
        <v>-19.685285870624995</v>
      </c>
      <c r="G33" s="51">
        <f t="shared" si="3"/>
        <v>-20.374270876096869</v>
      </c>
      <c r="H33" s="51">
        <f t="shared" si="3"/>
        <v>-21.087370356760257</v>
      </c>
    </row>
    <row r="34" spans="2:8" ht="18" customHeight="1" x14ac:dyDescent="0.45">
      <c r="B34" s="33" t="s">
        <v>595</v>
      </c>
      <c r="C34" s="34">
        <f t="shared" ref="C34:H34" si="4">C30+C31+C32+C33</f>
        <v>354.62061500000004</v>
      </c>
      <c r="D34" s="34">
        <f t="shared" si="4"/>
        <v>375.46711559999994</v>
      </c>
      <c r="E34" s="34">
        <f t="shared" si="4"/>
        <v>400.24845976950007</v>
      </c>
      <c r="F34" s="34">
        <f t="shared" si="4"/>
        <v>423.29270207604941</v>
      </c>
      <c r="G34" s="34">
        <f t="shared" si="4"/>
        <v>444.3424735367966</v>
      </c>
      <c r="H34" s="34">
        <f t="shared" si="4"/>
        <v>466.34719543975319</v>
      </c>
    </row>
    <row r="36" spans="2:8" ht="19.5" customHeight="1" x14ac:dyDescent="0.45">
      <c r="B36" s="1" t="s">
        <v>596</v>
      </c>
      <c r="C36" s="1"/>
      <c r="D36" s="1"/>
      <c r="E36" s="1"/>
      <c r="F36" s="1"/>
    </row>
    <row r="37" spans="2:8" ht="18" customHeight="1" x14ac:dyDescent="0.45">
      <c r="B37" s="39" t="s">
        <v>597</v>
      </c>
      <c r="C37" s="40">
        <f>C17</f>
        <v>5648.5000000000009</v>
      </c>
      <c r="D37" s="40">
        <f>C39</f>
        <v>-282.42500000000007</v>
      </c>
      <c r="E37" s="40">
        <f>D39</f>
        <v>14.121250000000003</v>
      </c>
      <c r="F37" s="40">
        <f>E39</f>
        <v>-0.70606250000000026</v>
      </c>
      <c r="G37" s="40">
        <f>F39</f>
        <v>3.5303125000000012E-2</v>
      </c>
      <c r="H37" s="40">
        <f>G39</f>
        <v>-1.7651562500000007E-3</v>
      </c>
    </row>
    <row r="38" spans="2:8" ht="18" customHeight="1" x14ac:dyDescent="0.45">
      <c r="B38" s="35" t="s">
        <v>598</v>
      </c>
      <c r="C38" s="51">
        <f t="shared" ref="C38:H38" si="5">-C37*0.065</f>
        <v>-367.15250000000009</v>
      </c>
      <c r="D38" s="51">
        <f t="shared" si="5"/>
        <v>18.357625000000006</v>
      </c>
      <c r="E38" s="51">
        <f t="shared" si="5"/>
        <v>-0.9178812500000002</v>
      </c>
      <c r="F38" s="51">
        <f t="shared" si="5"/>
        <v>4.589406250000002E-2</v>
      </c>
      <c r="G38" s="51">
        <f t="shared" si="5"/>
        <v>-2.2947031250000007E-3</v>
      </c>
      <c r="H38" s="51">
        <f t="shared" si="5"/>
        <v>1.1473515625000004E-4</v>
      </c>
    </row>
    <row r="39" spans="2:8" ht="18" customHeight="1" x14ac:dyDescent="0.45">
      <c r="B39" s="39" t="s">
        <v>599</v>
      </c>
      <c r="C39" s="95">
        <f t="shared" ref="C39:H39" si="6">-C37*0.05</f>
        <v>-282.42500000000007</v>
      </c>
      <c r="D39" s="95">
        <f t="shared" si="6"/>
        <v>14.121250000000003</v>
      </c>
      <c r="E39" s="95">
        <f t="shared" si="6"/>
        <v>-0.70606250000000026</v>
      </c>
      <c r="F39" s="95">
        <f t="shared" si="6"/>
        <v>3.5303125000000012E-2</v>
      </c>
      <c r="G39" s="95">
        <f t="shared" si="6"/>
        <v>-1.7651562500000007E-3</v>
      </c>
      <c r="H39" s="95">
        <f t="shared" si="6"/>
        <v>8.8257812500000039E-5</v>
      </c>
    </row>
    <row r="40" spans="2:8" ht="18" customHeight="1" x14ac:dyDescent="0.45">
      <c r="B40" s="49" t="s">
        <v>600</v>
      </c>
      <c r="C40" s="50">
        <f t="shared" ref="C40:H40" si="7">C37+C39</f>
        <v>5366.0750000000007</v>
      </c>
      <c r="D40" s="50">
        <f t="shared" si="7"/>
        <v>-268.30375000000004</v>
      </c>
      <c r="E40" s="50">
        <f t="shared" si="7"/>
        <v>13.415187500000004</v>
      </c>
      <c r="F40" s="50">
        <f t="shared" si="7"/>
        <v>-0.67075937500000027</v>
      </c>
      <c r="G40" s="50">
        <f t="shared" si="7"/>
        <v>3.3537968750000008E-2</v>
      </c>
      <c r="H40" s="50">
        <f t="shared" si="7"/>
        <v>-1.6768984375000007E-3</v>
      </c>
    </row>
    <row r="41" spans="2:8" ht="18" customHeight="1" x14ac:dyDescent="0.45">
      <c r="B41" s="39" t="s">
        <v>601</v>
      </c>
      <c r="C41" s="40">
        <f>C18</f>
        <v>1027</v>
      </c>
      <c r="D41" s="40">
        <f>C43</f>
        <v>1027</v>
      </c>
      <c r="E41" s="40">
        <f>D43</f>
        <v>1027</v>
      </c>
      <c r="F41" s="40">
        <f>E43</f>
        <v>1027</v>
      </c>
      <c r="G41" s="40">
        <f>F43</f>
        <v>1027</v>
      </c>
      <c r="H41" s="40">
        <f>G43</f>
        <v>1027</v>
      </c>
    </row>
    <row r="42" spans="2:8" ht="18" customHeight="1" x14ac:dyDescent="0.45">
      <c r="B42" s="35" t="s">
        <v>602</v>
      </c>
      <c r="C42" s="51">
        <f t="shared" ref="C42:H42" si="8">-C41*0.1</f>
        <v>-102.7</v>
      </c>
      <c r="D42" s="51">
        <f t="shared" si="8"/>
        <v>-102.7</v>
      </c>
      <c r="E42" s="51">
        <f t="shared" si="8"/>
        <v>-102.7</v>
      </c>
      <c r="F42" s="51">
        <f t="shared" si="8"/>
        <v>-102.7</v>
      </c>
      <c r="G42" s="51">
        <f t="shared" si="8"/>
        <v>-102.7</v>
      </c>
      <c r="H42" s="51">
        <f t="shared" si="8"/>
        <v>-102.7</v>
      </c>
    </row>
    <row r="43" spans="2:8" ht="18" customHeight="1" x14ac:dyDescent="0.45">
      <c r="B43" s="33" t="s">
        <v>603</v>
      </c>
      <c r="C43" s="34">
        <f t="shared" ref="C43:H43" si="9">C41</f>
        <v>1027</v>
      </c>
      <c r="D43" s="34">
        <f t="shared" si="9"/>
        <v>1027</v>
      </c>
      <c r="E43" s="34">
        <f t="shared" si="9"/>
        <v>1027</v>
      </c>
      <c r="F43" s="34">
        <f t="shared" si="9"/>
        <v>1027</v>
      </c>
      <c r="G43" s="34">
        <f t="shared" si="9"/>
        <v>1027</v>
      </c>
      <c r="H43" s="34">
        <f t="shared" si="9"/>
        <v>1027</v>
      </c>
    </row>
    <row r="44" spans="2:8" ht="18" customHeight="1" x14ac:dyDescent="0.45">
      <c r="B44" s="49" t="s">
        <v>604</v>
      </c>
      <c r="C44" s="50">
        <f t="shared" ref="C44:H44" si="10">C40+C43</f>
        <v>6393.0750000000007</v>
      </c>
      <c r="D44" s="50">
        <f t="shared" si="10"/>
        <v>758.69624999999996</v>
      </c>
      <c r="E44" s="50">
        <f t="shared" si="10"/>
        <v>1040.4151875</v>
      </c>
      <c r="F44" s="50">
        <f t="shared" si="10"/>
        <v>1026.329240625</v>
      </c>
      <c r="G44" s="50">
        <f t="shared" si="10"/>
        <v>1027.0335379687499</v>
      </c>
      <c r="H44" s="50">
        <f t="shared" si="10"/>
        <v>1026.9983231015624</v>
      </c>
    </row>
    <row r="45" spans="2:8" ht="18" customHeight="1" x14ac:dyDescent="0.45">
      <c r="B45" s="39" t="s">
        <v>605</v>
      </c>
      <c r="C45" s="40">
        <f t="shared" ref="C45:H45" si="11">C38+C42</f>
        <v>-469.85250000000008</v>
      </c>
      <c r="D45" s="40">
        <f t="shared" si="11"/>
        <v>-84.342375000000004</v>
      </c>
      <c r="E45" s="40">
        <f t="shared" si="11"/>
        <v>-103.61788125</v>
      </c>
      <c r="F45" s="40">
        <f t="shared" si="11"/>
        <v>-102.65410593750001</v>
      </c>
      <c r="G45" s="40">
        <f t="shared" si="11"/>
        <v>-102.70229470312501</v>
      </c>
      <c r="H45" s="40">
        <f t="shared" si="11"/>
        <v>-102.69988526484376</v>
      </c>
    </row>
    <row r="46" spans="2:8" ht="18" customHeight="1" x14ac:dyDescent="0.45">
      <c r="B46" s="35" t="s">
        <v>606</v>
      </c>
      <c r="C46" s="45">
        <f t="shared" ref="C46:H46" si="12">C44/C30</f>
        <v>9.8380276163260429</v>
      </c>
      <c r="D46" s="45">
        <f t="shared" si="12"/>
        <v>1.1098491944908202</v>
      </c>
      <c r="E46" s="45">
        <f t="shared" si="12"/>
        <v>1.4395332824778306</v>
      </c>
      <c r="F46" s="45">
        <f t="shared" si="12"/>
        <v>1.3506961801543449</v>
      </c>
      <c r="G46" s="45">
        <f t="shared" si="12"/>
        <v>1.2925219970519446</v>
      </c>
      <c r="H46" s="45">
        <f t="shared" si="12"/>
        <v>1.2360928293027007</v>
      </c>
    </row>
    <row r="48" spans="2:8" ht="19.5" customHeight="1" x14ac:dyDescent="0.45">
      <c r="B48" s="1" t="s">
        <v>607</v>
      </c>
      <c r="C48" s="1"/>
      <c r="D48" s="1"/>
      <c r="E48" s="1"/>
      <c r="F48" s="1"/>
    </row>
    <row r="49" spans="2:8" ht="18" customHeight="1" x14ac:dyDescent="0.45">
      <c r="B49" s="33" t="s">
        <v>608</v>
      </c>
      <c r="C49" s="34"/>
      <c r="D49" s="34"/>
      <c r="E49" s="34"/>
      <c r="F49" s="34"/>
      <c r="G49" s="34"/>
      <c r="H49" s="34">
        <f>H30</f>
        <v>830.84239205635413</v>
      </c>
    </row>
    <row r="50" spans="2:8" ht="18" customHeight="1" x14ac:dyDescent="0.45">
      <c r="B50" s="35" t="s">
        <v>609</v>
      </c>
      <c r="C50" s="38"/>
      <c r="D50" s="38"/>
      <c r="E50" s="38"/>
      <c r="F50" s="38"/>
      <c r="G50" s="38"/>
      <c r="H50" s="51">
        <f>H49*11.5</f>
        <v>9554.6875086480723</v>
      </c>
    </row>
    <row r="51" spans="2:8" ht="18" customHeight="1" x14ac:dyDescent="0.45">
      <c r="B51" s="33" t="s">
        <v>610</v>
      </c>
      <c r="C51" s="34"/>
      <c r="D51" s="34"/>
      <c r="E51" s="34"/>
      <c r="F51" s="34"/>
      <c r="G51" s="34"/>
      <c r="H51" s="34">
        <f>H49*13.5</f>
        <v>11216.372292760781</v>
      </c>
    </row>
    <row r="52" spans="2:8" ht="18" customHeight="1" x14ac:dyDescent="0.45">
      <c r="B52" s="35" t="s">
        <v>611</v>
      </c>
      <c r="C52" s="38"/>
      <c r="D52" s="38"/>
      <c r="E52" s="38"/>
      <c r="F52" s="38"/>
      <c r="G52" s="38"/>
      <c r="H52" s="51">
        <f>H49*15</f>
        <v>12462.635880845311</v>
      </c>
    </row>
    <row r="53" spans="2:8" ht="18" customHeight="1" x14ac:dyDescent="0.45">
      <c r="B53" s="35" t="s">
        <v>612</v>
      </c>
      <c r="C53" s="38"/>
      <c r="D53" s="38"/>
      <c r="E53" s="38"/>
      <c r="F53" s="38"/>
      <c r="G53" s="38"/>
      <c r="H53" s="51">
        <f>H44</f>
        <v>1026.9983231015624</v>
      </c>
    </row>
    <row r="54" spans="2:8" ht="18" customHeight="1" x14ac:dyDescent="0.45">
      <c r="B54" s="39" t="s">
        <v>613</v>
      </c>
      <c r="C54" s="44"/>
      <c r="D54" s="44"/>
      <c r="E54" s="44"/>
      <c r="F54" s="44"/>
      <c r="G54" s="44"/>
      <c r="H54" s="40">
        <f>H50+H53</f>
        <v>10581.685831749635</v>
      </c>
    </row>
    <row r="55" spans="2:8" ht="18" customHeight="1" x14ac:dyDescent="0.45">
      <c r="B55" s="49" t="s">
        <v>614</v>
      </c>
      <c r="C55" s="50"/>
      <c r="D55" s="50"/>
      <c r="E55" s="50"/>
      <c r="F55" s="50"/>
      <c r="G55" s="50"/>
      <c r="H55" s="50">
        <f>H51+H53</f>
        <v>12243.370615862344</v>
      </c>
    </row>
    <row r="56" spans="2:8" ht="18" customHeight="1" x14ac:dyDescent="0.45">
      <c r="B56" s="39" t="s">
        <v>615</v>
      </c>
      <c r="C56" s="44"/>
      <c r="D56" s="44"/>
      <c r="E56" s="44"/>
      <c r="F56" s="44"/>
      <c r="G56" s="44"/>
      <c r="H56" s="40">
        <f>H52+H53</f>
        <v>13489.634203946875</v>
      </c>
    </row>
    <row r="58" spans="2:8" ht="19.5" customHeight="1" x14ac:dyDescent="0.45">
      <c r="B58" s="1" t="s">
        <v>616</v>
      </c>
      <c r="C58" s="1"/>
      <c r="D58" s="1"/>
      <c r="E58" s="1"/>
      <c r="F58" s="1"/>
    </row>
    <row r="59" spans="2:8" ht="18" customHeight="1" x14ac:dyDescent="0.45">
      <c r="B59" s="90" t="s">
        <v>617</v>
      </c>
      <c r="C59" s="44">
        <f>C20</f>
        <v>3594.4999999999995</v>
      </c>
      <c r="D59" s="44"/>
      <c r="E59" s="44"/>
      <c r="F59" s="44"/>
      <c r="G59" s="44"/>
      <c r="H59" s="44"/>
    </row>
    <row r="60" spans="2:8" ht="19.5" customHeight="1" x14ac:dyDescent="0.45">
      <c r="B60" s="1" t="s">
        <v>618</v>
      </c>
      <c r="C60" s="1"/>
      <c r="D60" s="1"/>
      <c r="E60" s="1"/>
      <c r="F60" s="1"/>
    </row>
    <row r="61" spans="2:8" ht="18" customHeight="1" x14ac:dyDescent="0.45">
      <c r="B61" s="96" t="s">
        <v>619</v>
      </c>
      <c r="C61" s="97"/>
      <c r="D61" s="97"/>
      <c r="E61" s="97"/>
      <c r="F61" s="97"/>
      <c r="G61" s="97"/>
      <c r="H61" s="98">
        <f>H54</f>
        <v>10581.685831749635</v>
      </c>
    </row>
    <row r="62" spans="2:8" ht="18" customHeight="1" x14ac:dyDescent="0.45">
      <c r="B62" s="99" t="s">
        <v>620</v>
      </c>
      <c r="C62" s="100"/>
      <c r="D62" s="100"/>
      <c r="E62" s="100"/>
      <c r="F62" s="100"/>
      <c r="G62" s="100"/>
      <c r="H62" s="100">
        <f>H61/C59</f>
        <v>2.9438547313255352</v>
      </c>
    </row>
    <row r="63" spans="2:8" ht="18" customHeight="1" x14ac:dyDescent="0.45">
      <c r="B63" s="99" t="s">
        <v>621</v>
      </c>
      <c r="C63" s="101"/>
      <c r="D63" s="101"/>
      <c r="E63" s="101"/>
      <c r="F63" s="101"/>
      <c r="G63" s="101"/>
      <c r="H63" s="101">
        <f>(H61/C59)^(1/5)-1</f>
        <v>0.24103284338982456</v>
      </c>
    </row>
    <row r="64" spans="2:8" ht="19.5" customHeight="1" x14ac:dyDescent="0.45">
      <c r="B64" s="1" t="s">
        <v>622</v>
      </c>
      <c r="C64" s="1"/>
      <c r="D64" s="1"/>
      <c r="E64" s="1"/>
      <c r="F64" s="1"/>
    </row>
    <row r="65" spans="2:8" ht="18" customHeight="1" x14ac:dyDescent="0.45">
      <c r="B65" s="39" t="s">
        <v>619</v>
      </c>
      <c r="C65" s="44"/>
      <c r="D65" s="44"/>
      <c r="E65" s="44"/>
      <c r="F65" s="44"/>
      <c r="G65" s="44"/>
      <c r="H65" s="40">
        <f>H55</f>
        <v>12243.370615862344</v>
      </c>
    </row>
    <row r="66" spans="2:8" ht="18" customHeight="1" x14ac:dyDescent="0.45">
      <c r="B66" s="33" t="s">
        <v>620</v>
      </c>
      <c r="C66" s="92"/>
      <c r="D66" s="92"/>
      <c r="E66" s="92"/>
      <c r="F66" s="92"/>
      <c r="G66" s="92"/>
      <c r="H66" s="92">
        <f>H65/C59</f>
        <v>3.4061401073479889</v>
      </c>
    </row>
    <row r="67" spans="2:8" ht="18" customHeight="1" x14ac:dyDescent="0.45">
      <c r="B67" s="33" t="s">
        <v>621</v>
      </c>
      <c r="C67" s="102"/>
      <c r="D67" s="102"/>
      <c r="E67" s="102"/>
      <c r="F67" s="102"/>
      <c r="G67" s="102"/>
      <c r="H67" s="102">
        <f>(H65/C59)^(1/5)-1</f>
        <v>0.27776945351228099</v>
      </c>
    </row>
    <row r="68" spans="2:8" ht="19.5" customHeight="1" x14ac:dyDescent="0.45">
      <c r="B68" s="1" t="s">
        <v>623</v>
      </c>
      <c r="C68" s="1"/>
      <c r="D68" s="1"/>
      <c r="E68" s="1"/>
      <c r="F68" s="1"/>
    </row>
    <row r="69" spans="2:8" ht="18" customHeight="1" x14ac:dyDescent="0.45">
      <c r="B69" s="103" t="s">
        <v>619</v>
      </c>
      <c r="C69" s="104"/>
      <c r="D69" s="104"/>
      <c r="E69" s="104"/>
      <c r="F69" s="104"/>
      <c r="G69" s="104"/>
      <c r="H69" s="105">
        <f>H56</f>
        <v>13489.634203946875</v>
      </c>
    </row>
    <row r="70" spans="2:8" ht="18" customHeight="1" x14ac:dyDescent="0.45">
      <c r="B70" s="106" t="s">
        <v>620</v>
      </c>
      <c r="C70" s="107"/>
      <c r="D70" s="107"/>
      <c r="E70" s="107"/>
      <c r="F70" s="107"/>
      <c r="G70" s="107"/>
      <c r="H70" s="107">
        <f>H69/C59</f>
        <v>3.7528541393648287</v>
      </c>
    </row>
    <row r="71" spans="2:8" ht="18" customHeight="1" x14ac:dyDescent="0.45">
      <c r="B71" s="106" t="s">
        <v>621</v>
      </c>
      <c r="C71" s="108"/>
      <c r="D71" s="108"/>
      <c r="E71" s="108"/>
      <c r="F71" s="108"/>
      <c r="G71" s="108"/>
      <c r="H71" s="108">
        <f>(H69/C59)^(1/5)-1</f>
        <v>0.30278376258058604</v>
      </c>
    </row>
    <row r="74" spans="2:8" ht="19.5" customHeight="1" x14ac:dyDescent="0.45">
      <c r="B74" s="1" t="s">
        <v>624</v>
      </c>
      <c r="C74" s="1"/>
      <c r="D74" s="1"/>
      <c r="E74" s="1"/>
      <c r="F74" s="1"/>
    </row>
    <row r="75" spans="2:8" ht="19.5" customHeight="1" x14ac:dyDescent="0.45">
      <c r="B75" s="69" t="s">
        <v>625</v>
      </c>
      <c r="C75" s="70" t="s">
        <v>626</v>
      </c>
      <c r="D75" s="70" t="s">
        <v>234</v>
      </c>
      <c r="E75" s="70" t="s">
        <v>292</v>
      </c>
      <c r="F75" s="70" t="s">
        <v>271</v>
      </c>
      <c r="G75" s="70" t="s">
        <v>627</v>
      </c>
    </row>
    <row r="76" spans="2:8" ht="15" customHeight="1" x14ac:dyDescent="0.45">
      <c r="B76" s="71" t="s">
        <v>628</v>
      </c>
    </row>
    <row r="77" spans="2:8" ht="18" customHeight="1" x14ac:dyDescent="0.45">
      <c r="B77" s="48" t="s">
        <v>234</v>
      </c>
      <c r="C77" s="109" t="s">
        <v>629</v>
      </c>
      <c r="D77" s="109" t="s">
        <v>630</v>
      </c>
      <c r="E77" s="109" t="s">
        <v>631</v>
      </c>
      <c r="F77" s="109" t="s">
        <v>120</v>
      </c>
      <c r="G77" s="109" t="s">
        <v>632</v>
      </c>
    </row>
    <row r="78" spans="2:8" ht="18" customHeight="1" x14ac:dyDescent="0.45">
      <c r="B78" s="48" t="s">
        <v>271</v>
      </c>
      <c r="C78" s="110" t="s">
        <v>474</v>
      </c>
      <c r="D78" s="111" t="s">
        <v>633</v>
      </c>
      <c r="E78" s="111" t="s">
        <v>634</v>
      </c>
      <c r="F78" s="109" t="s">
        <v>629</v>
      </c>
      <c r="G78" s="109" t="s">
        <v>635</v>
      </c>
    </row>
    <row r="79" spans="2:8" ht="18" customHeight="1" x14ac:dyDescent="0.45">
      <c r="B79" s="48" t="s">
        <v>238</v>
      </c>
      <c r="C79" s="110" t="s">
        <v>488</v>
      </c>
      <c r="D79" s="111" t="s">
        <v>520</v>
      </c>
      <c r="E79" s="74" t="s">
        <v>636</v>
      </c>
      <c r="F79" s="111" t="s">
        <v>637</v>
      </c>
      <c r="G79" s="109" t="s">
        <v>638</v>
      </c>
    </row>
    <row r="80" spans="2:8" ht="18" customHeight="1" x14ac:dyDescent="0.45">
      <c r="B80" s="48" t="s">
        <v>241</v>
      </c>
      <c r="C80" s="110" t="s">
        <v>639</v>
      </c>
      <c r="D80" s="110" t="s">
        <v>640</v>
      </c>
      <c r="E80" s="110" t="s">
        <v>512</v>
      </c>
      <c r="F80" s="111" t="s">
        <v>641</v>
      </c>
      <c r="G80" s="111" t="s">
        <v>642</v>
      </c>
    </row>
    <row r="81" spans="2:9" ht="18" customHeight="1" x14ac:dyDescent="0.45">
      <c r="B81" s="48" t="s">
        <v>643</v>
      </c>
      <c r="C81" s="110" t="s">
        <v>644</v>
      </c>
      <c r="D81" s="110" t="s">
        <v>645</v>
      </c>
      <c r="E81" s="110" t="s">
        <v>646</v>
      </c>
      <c r="F81" s="110" t="s">
        <v>647</v>
      </c>
      <c r="G81" s="110" t="s">
        <v>648</v>
      </c>
    </row>
    <row r="83" spans="2:9" ht="51.75" customHeight="1" x14ac:dyDescent="0.45">
      <c r="B83" s="151" t="s">
        <v>649</v>
      </c>
      <c r="C83" s="151"/>
      <c r="D83" s="151"/>
      <c r="E83" s="151"/>
      <c r="F83" s="151"/>
      <c r="G83" s="151"/>
      <c r="H83" s="151"/>
      <c r="I83" s="151"/>
    </row>
  </sheetData>
  <mergeCells count="13">
    <mergeCell ref="B68:F68"/>
    <mergeCell ref="B74:F74"/>
    <mergeCell ref="B83:I83"/>
    <mergeCell ref="B36:F36"/>
    <mergeCell ref="B48:F48"/>
    <mergeCell ref="B58:F58"/>
    <mergeCell ref="B60:F60"/>
    <mergeCell ref="B64:F64"/>
    <mergeCell ref="B1:I1"/>
    <mergeCell ref="B2:I2"/>
    <mergeCell ref="B6:F6"/>
    <mergeCell ref="B16:F16"/>
    <mergeCell ref="B27:F27"/>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39C12"/>
  </sheetPr>
  <dimension ref="B1:H25"/>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defaultColWidth="8.6640625" defaultRowHeight="14.25" x14ac:dyDescent="0.45"/>
  <cols>
    <col min="1" max="1" width="3" customWidth="1"/>
    <col min="2" max="2" width="34" customWidth="1"/>
    <col min="3" max="7" width="14" customWidth="1"/>
    <col min="8" max="8" width="3" customWidth="1"/>
  </cols>
  <sheetData>
    <row r="1" spans="2:8" ht="25.5" customHeight="1" x14ac:dyDescent="0.45">
      <c r="B1" s="148" t="s">
        <v>650</v>
      </c>
      <c r="C1" s="148"/>
      <c r="D1" s="148"/>
      <c r="E1" s="148"/>
      <c r="F1" s="148"/>
      <c r="G1" s="148"/>
    </row>
    <row r="2" spans="2:8" ht="36" customHeight="1" x14ac:dyDescent="0.45">
      <c r="B2" s="150" t="s">
        <v>651</v>
      </c>
      <c r="C2" s="150"/>
      <c r="D2" s="150"/>
      <c r="E2" s="150"/>
      <c r="F2" s="150"/>
      <c r="G2" s="150"/>
    </row>
    <row r="4" spans="2:8" ht="21.75" customHeight="1" x14ac:dyDescent="0.45">
      <c r="B4" s="48" t="s">
        <v>652</v>
      </c>
      <c r="C4" s="48" t="s">
        <v>653</v>
      </c>
      <c r="D4" s="48" t="s">
        <v>654</v>
      </c>
      <c r="E4" s="48" t="s">
        <v>655</v>
      </c>
      <c r="F4" s="48" t="s">
        <v>656</v>
      </c>
      <c r="G4" s="48" t="s">
        <v>458</v>
      </c>
      <c r="H4" s="48" t="s">
        <v>657</v>
      </c>
    </row>
    <row r="5" spans="2:8" ht="21.75" customHeight="1" x14ac:dyDescent="0.45">
      <c r="B5" s="112" t="s">
        <v>658</v>
      </c>
      <c r="C5" s="104">
        <v>995</v>
      </c>
      <c r="D5" s="113">
        <v>0.3</v>
      </c>
      <c r="E5" s="104">
        <v>298.5</v>
      </c>
      <c r="F5" s="105">
        <v>330.34</v>
      </c>
      <c r="G5" s="114">
        <v>14.5</v>
      </c>
      <c r="H5" s="104">
        <v>4789.93</v>
      </c>
    </row>
    <row r="6" spans="2:8" ht="21.75" customHeight="1" x14ac:dyDescent="0.45">
      <c r="B6" s="115" t="s">
        <v>659</v>
      </c>
      <c r="C6" s="116">
        <v>858</v>
      </c>
      <c r="D6" s="117">
        <v>0.16200000000000001</v>
      </c>
      <c r="E6" s="116">
        <v>138.99600000000001</v>
      </c>
      <c r="F6" s="118">
        <v>171.6</v>
      </c>
      <c r="G6" s="119">
        <v>13</v>
      </c>
      <c r="H6" s="116">
        <v>2230.8000000000002</v>
      </c>
    </row>
    <row r="7" spans="2:8" ht="21.75" customHeight="1" x14ac:dyDescent="0.45">
      <c r="B7" s="115" t="s">
        <v>660</v>
      </c>
      <c r="C7" s="116">
        <v>515</v>
      </c>
      <c r="D7" s="117">
        <v>0.155</v>
      </c>
      <c r="E7" s="116">
        <v>79.825000000000003</v>
      </c>
      <c r="F7" s="118">
        <v>99.394999999999996</v>
      </c>
      <c r="G7" s="119">
        <v>12.5</v>
      </c>
      <c r="H7" s="116">
        <v>1242.4375</v>
      </c>
    </row>
    <row r="8" spans="2:8" ht="21.75" customHeight="1" x14ac:dyDescent="0.45">
      <c r="B8" s="115" t="s">
        <v>661</v>
      </c>
      <c r="C8" s="116">
        <v>343</v>
      </c>
      <c r="D8" s="117">
        <v>0.15</v>
      </c>
      <c r="E8" s="116">
        <v>51.45</v>
      </c>
      <c r="F8" s="118">
        <v>64.483999999999995</v>
      </c>
      <c r="G8" s="119">
        <v>12.5</v>
      </c>
      <c r="H8" s="116">
        <v>806.05</v>
      </c>
    </row>
    <row r="9" spans="2:8" ht="21.75" customHeight="1" x14ac:dyDescent="0.45">
      <c r="B9" s="120" t="s">
        <v>662</v>
      </c>
      <c r="C9" s="97">
        <v>721</v>
      </c>
      <c r="D9" s="121">
        <v>0.12</v>
      </c>
      <c r="E9" s="97">
        <v>86.52</v>
      </c>
      <c r="F9" s="98">
        <v>113.91800000000001</v>
      </c>
      <c r="G9" s="122">
        <v>9</v>
      </c>
      <c r="H9" s="97">
        <v>1025.2619999999999</v>
      </c>
    </row>
    <row r="10" spans="2:8" ht="21.75" customHeight="1" x14ac:dyDescent="0.45">
      <c r="B10" s="30" t="s">
        <v>663</v>
      </c>
      <c r="C10" s="123">
        <v>3432</v>
      </c>
      <c r="D10" s="124"/>
      <c r="E10" s="123">
        <v>655.29100000000005</v>
      </c>
      <c r="F10" s="123">
        <v>779.73699999999997</v>
      </c>
      <c r="G10" s="124"/>
      <c r="H10" s="123">
        <v>10094.479499999999</v>
      </c>
    </row>
    <row r="12" spans="2:8" ht="21.75" customHeight="1" x14ac:dyDescent="0.45">
      <c r="B12" s="2" t="s">
        <v>664</v>
      </c>
      <c r="C12" s="2"/>
      <c r="D12" s="2"/>
      <c r="E12" s="2"/>
      <c r="F12" s="2"/>
      <c r="G12" s="2"/>
    </row>
    <row r="13" spans="2:8" ht="18" customHeight="1" x14ac:dyDescent="0.45">
      <c r="B13" s="152" t="s">
        <v>665</v>
      </c>
      <c r="C13" s="152"/>
      <c r="D13" s="152"/>
      <c r="E13" s="152"/>
      <c r="F13" s="152"/>
      <c r="G13" s="152"/>
      <c r="H13" s="97">
        <v>-300</v>
      </c>
    </row>
    <row r="14" spans="2:8" ht="18" customHeight="1" x14ac:dyDescent="0.45">
      <c r="B14" s="153" t="s">
        <v>666</v>
      </c>
      <c r="C14" s="153"/>
      <c r="D14" s="153"/>
      <c r="E14" s="153"/>
      <c r="F14" s="153"/>
      <c r="G14" s="153"/>
      <c r="H14" s="44">
        <v>-850</v>
      </c>
    </row>
    <row r="15" spans="2:8" ht="18" customHeight="1" x14ac:dyDescent="0.45">
      <c r="B15" s="154" t="s">
        <v>667</v>
      </c>
      <c r="C15" s="154"/>
      <c r="D15" s="154"/>
      <c r="E15" s="154"/>
      <c r="F15" s="154"/>
      <c r="G15" s="154"/>
      <c r="H15" s="38">
        <v>-25</v>
      </c>
    </row>
    <row r="16" spans="2:8" ht="18" customHeight="1" x14ac:dyDescent="0.45">
      <c r="B16" s="153" t="s">
        <v>668</v>
      </c>
      <c r="C16" s="153"/>
      <c r="D16" s="153"/>
      <c r="E16" s="153"/>
      <c r="F16" s="153"/>
      <c r="G16" s="153"/>
      <c r="H16" s="44">
        <v>-50</v>
      </c>
    </row>
    <row r="17" spans="2:8" ht="21.75" customHeight="1" x14ac:dyDescent="0.45">
      <c r="B17" s="155" t="s">
        <v>669</v>
      </c>
      <c r="C17" s="155"/>
      <c r="D17" s="155"/>
      <c r="E17" s="155"/>
      <c r="F17" s="155"/>
      <c r="G17" s="155"/>
      <c r="H17" s="125">
        <v>7716</v>
      </c>
    </row>
    <row r="18" spans="2:8" ht="21.75" customHeight="1" x14ac:dyDescent="0.45">
      <c r="B18" s="156" t="s">
        <v>670</v>
      </c>
      <c r="C18" s="156"/>
      <c r="D18" s="156"/>
      <c r="E18" s="156"/>
      <c r="F18" s="156"/>
      <c r="G18" s="156"/>
      <c r="H18" s="126">
        <v>8869</v>
      </c>
    </row>
    <row r="19" spans="2:8" ht="21.75" customHeight="1" x14ac:dyDescent="0.45">
      <c r="B19" s="156" t="s">
        <v>671</v>
      </c>
      <c r="C19" s="156"/>
      <c r="D19" s="156"/>
      <c r="E19" s="156"/>
      <c r="F19" s="156"/>
      <c r="G19" s="156"/>
      <c r="H19" s="126">
        <v>10200</v>
      </c>
    </row>
    <row r="21" spans="2:8" ht="129.75" customHeight="1" x14ac:dyDescent="0.45">
      <c r="B21" s="157" t="s">
        <v>672</v>
      </c>
      <c r="C21" s="157"/>
      <c r="D21" s="157"/>
      <c r="E21" s="157"/>
      <c r="F21" s="157"/>
      <c r="G21" s="157"/>
    </row>
    <row r="22" spans="2:8" ht="15" customHeight="1" x14ac:dyDescent="0.45">
      <c r="B22" s="157"/>
      <c r="C22" s="157"/>
      <c r="D22" s="157"/>
      <c r="E22" s="157"/>
      <c r="F22" s="157"/>
      <c r="G22" s="157"/>
    </row>
    <row r="23" spans="2:8" ht="15" customHeight="1" x14ac:dyDescent="0.45">
      <c r="B23" s="157"/>
      <c r="C23" s="157"/>
      <c r="D23" s="157"/>
      <c r="E23" s="157"/>
      <c r="F23" s="157"/>
      <c r="G23" s="157"/>
    </row>
    <row r="24" spans="2:8" ht="15" customHeight="1" x14ac:dyDescent="0.45">
      <c r="B24" s="157"/>
      <c r="C24" s="157"/>
      <c r="D24" s="157"/>
      <c r="E24" s="157"/>
      <c r="F24" s="157"/>
      <c r="G24" s="157"/>
    </row>
    <row r="25" spans="2:8" ht="15" customHeight="1" x14ac:dyDescent="0.45">
      <c r="B25" s="157"/>
      <c r="C25" s="157"/>
      <c r="D25" s="157"/>
      <c r="E25" s="157"/>
      <c r="F25" s="157"/>
      <c r="G25" s="157"/>
    </row>
  </sheetData>
  <mergeCells count="11">
    <mergeCell ref="B21:G25"/>
    <mergeCell ref="B15:G15"/>
    <mergeCell ref="B16:G16"/>
    <mergeCell ref="B17:G17"/>
    <mergeCell ref="B18:G18"/>
    <mergeCell ref="B19:G19"/>
    <mergeCell ref="B1:G1"/>
    <mergeCell ref="B2:G2"/>
    <mergeCell ref="B12:G12"/>
    <mergeCell ref="B13:G13"/>
    <mergeCell ref="B14:G14"/>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6A085"/>
  </sheetPr>
  <dimension ref="B1:B26"/>
  <sheetViews>
    <sheetView showGridLines="0" zoomScaleNormal="100" workbookViewId="0"/>
  </sheetViews>
  <sheetFormatPr defaultColWidth="8.6640625" defaultRowHeight="14.25" x14ac:dyDescent="0.45"/>
  <cols>
    <col min="1" max="1" width="3" customWidth="1"/>
    <col min="2" max="2" width="70" customWidth="1"/>
    <col min="3" max="3" width="3" customWidth="1"/>
  </cols>
  <sheetData>
    <row r="1" spans="2:2" ht="30" customHeight="1" x14ac:dyDescent="0.45">
      <c r="B1" s="16" t="s">
        <v>673</v>
      </c>
    </row>
    <row r="3" spans="2:2" ht="25.5" customHeight="1" x14ac:dyDescent="0.45">
      <c r="B3" s="127" t="s">
        <v>674</v>
      </c>
    </row>
    <row r="4" spans="2:2" ht="19.5" customHeight="1" x14ac:dyDescent="0.45">
      <c r="B4" s="128" t="s">
        <v>675</v>
      </c>
    </row>
    <row r="5" spans="2:2" ht="19.5" customHeight="1" x14ac:dyDescent="0.45">
      <c r="B5" s="129" t="s">
        <v>676</v>
      </c>
    </row>
    <row r="6" spans="2:2" ht="249" customHeight="1" x14ac:dyDescent="0.45">
      <c r="B6" s="130" t="s">
        <v>677</v>
      </c>
    </row>
    <row r="7" spans="2:2" ht="19.5" customHeight="1" x14ac:dyDescent="0.45">
      <c r="B7" s="129" t="s">
        <v>678</v>
      </c>
    </row>
    <row r="8" spans="2:2" ht="216" customHeight="1" x14ac:dyDescent="0.45">
      <c r="B8" s="130" t="s">
        <v>679</v>
      </c>
    </row>
    <row r="9" spans="2:2" ht="19.5" customHeight="1" x14ac:dyDescent="0.45">
      <c r="B9" s="129" t="s">
        <v>680</v>
      </c>
    </row>
    <row r="10" spans="2:2" ht="186.75" customHeight="1" x14ac:dyDescent="0.45">
      <c r="B10" s="130" t="s">
        <v>681</v>
      </c>
    </row>
    <row r="11" spans="2:2" ht="19.5" customHeight="1" x14ac:dyDescent="0.45">
      <c r="B11" s="129" t="s">
        <v>682</v>
      </c>
    </row>
    <row r="12" spans="2:2" ht="240.75" customHeight="1" x14ac:dyDescent="0.45">
      <c r="B12" s="130" t="s">
        <v>683</v>
      </c>
    </row>
    <row r="13" spans="2:2" ht="19.5" customHeight="1" x14ac:dyDescent="0.45">
      <c r="B13" s="129" t="s">
        <v>684</v>
      </c>
    </row>
    <row r="14" spans="2:2" ht="313.5" customHeight="1" x14ac:dyDescent="0.45">
      <c r="B14" s="130" t="s">
        <v>685</v>
      </c>
    </row>
    <row r="15" spans="2:2" ht="25.5" customHeight="1" x14ac:dyDescent="0.45">
      <c r="B15" s="127" t="s">
        <v>686</v>
      </c>
    </row>
    <row r="16" spans="2:2" ht="19.5" customHeight="1" x14ac:dyDescent="0.45">
      <c r="B16" s="128" t="s">
        <v>687</v>
      </c>
    </row>
    <row r="17" spans="2:2" ht="19.5" customHeight="1" x14ac:dyDescent="0.45">
      <c r="B17" s="129" t="s">
        <v>688</v>
      </c>
    </row>
    <row r="18" spans="2:2" ht="174" customHeight="1" x14ac:dyDescent="0.45">
      <c r="B18" s="130" t="s">
        <v>689</v>
      </c>
    </row>
    <row r="19" spans="2:2" ht="19.5" customHeight="1" x14ac:dyDescent="0.45">
      <c r="B19" s="129" t="s">
        <v>690</v>
      </c>
    </row>
    <row r="20" spans="2:2" ht="201" customHeight="1" x14ac:dyDescent="0.45">
      <c r="B20" s="130" t="s">
        <v>691</v>
      </c>
    </row>
    <row r="21" spans="2:2" ht="19.5" customHeight="1" x14ac:dyDescent="0.45">
      <c r="B21" s="129" t="s">
        <v>692</v>
      </c>
    </row>
    <row r="22" spans="2:2" ht="280.5" customHeight="1" x14ac:dyDescent="0.45">
      <c r="B22" s="130" t="s">
        <v>693</v>
      </c>
    </row>
    <row r="23" spans="2:2" ht="19.5" customHeight="1" x14ac:dyDescent="0.45">
      <c r="B23" s="129" t="s">
        <v>694</v>
      </c>
    </row>
    <row r="24" spans="2:2" ht="409.6" customHeight="1" x14ac:dyDescent="0.45">
      <c r="B24" s="130" t="s">
        <v>695</v>
      </c>
    </row>
    <row r="25" spans="2:2" ht="19.5" customHeight="1" x14ac:dyDescent="0.45">
      <c r="B25" s="131" t="s">
        <v>696</v>
      </c>
    </row>
    <row r="26" spans="2:2" ht="207.75" customHeight="1" x14ac:dyDescent="0.45">
      <c r="B26" s="132" t="s">
        <v>697</v>
      </c>
    </row>
  </sheetData>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C3E50"/>
  </sheetPr>
  <dimension ref="B1:D19"/>
  <sheetViews>
    <sheetView showGridLines="0" zoomScaleNormal="100" workbookViewId="0"/>
  </sheetViews>
  <sheetFormatPr defaultColWidth="8.6640625" defaultRowHeight="14.25" x14ac:dyDescent="0.45"/>
  <cols>
    <col min="1" max="1" width="3" customWidth="1"/>
    <col min="2" max="2" width="40" customWidth="1"/>
    <col min="3" max="3" width="55" customWidth="1"/>
    <col min="4" max="4" width="22" customWidth="1"/>
    <col min="5" max="5" width="3" customWidth="1"/>
  </cols>
  <sheetData>
    <row r="1" spans="2:4" ht="25.5" customHeight="1" x14ac:dyDescent="0.45">
      <c r="B1" s="148" t="s">
        <v>698</v>
      </c>
      <c r="C1" s="148"/>
      <c r="D1" s="148"/>
    </row>
    <row r="3" spans="2:4" ht="19.5" customHeight="1" x14ac:dyDescent="0.45">
      <c r="B3" s="48" t="s">
        <v>699</v>
      </c>
      <c r="C3" s="48" t="s">
        <v>700</v>
      </c>
      <c r="D3" s="48" t="s">
        <v>701</v>
      </c>
    </row>
    <row r="4" spans="2:4" ht="19.5" customHeight="1" x14ac:dyDescent="0.45">
      <c r="B4" s="158" t="s">
        <v>702</v>
      </c>
      <c r="C4" s="158"/>
      <c r="D4" s="158"/>
    </row>
    <row r="5" spans="2:4" ht="114" customHeight="1" x14ac:dyDescent="0.45">
      <c r="B5" s="133" t="s">
        <v>703</v>
      </c>
      <c r="C5" s="134" t="s">
        <v>704</v>
      </c>
      <c r="D5" s="135" t="s">
        <v>705</v>
      </c>
    </row>
    <row r="6" spans="2:4" ht="117" customHeight="1" x14ac:dyDescent="0.45">
      <c r="B6" s="133" t="s">
        <v>706</v>
      </c>
      <c r="C6" s="134" t="s">
        <v>707</v>
      </c>
      <c r="D6" s="135" t="s">
        <v>708</v>
      </c>
    </row>
    <row r="7" spans="2:4" ht="108.75" customHeight="1" x14ac:dyDescent="0.45">
      <c r="B7" s="133" t="s">
        <v>709</v>
      </c>
      <c r="C7" s="134" t="s">
        <v>710</v>
      </c>
      <c r="D7" s="135" t="s">
        <v>711</v>
      </c>
    </row>
    <row r="8" spans="2:4" ht="19.5" customHeight="1" x14ac:dyDescent="0.45">
      <c r="B8" s="159" t="s">
        <v>712</v>
      </c>
      <c r="C8" s="159"/>
      <c r="D8" s="159"/>
    </row>
    <row r="9" spans="2:4" ht="117" customHeight="1" x14ac:dyDescent="0.45">
      <c r="B9" s="136" t="s">
        <v>713</v>
      </c>
      <c r="C9" s="137" t="s">
        <v>714</v>
      </c>
      <c r="D9" s="138" t="s">
        <v>715</v>
      </c>
    </row>
    <row r="10" spans="2:4" ht="111.75" customHeight="1" x14ac:dyDescent="0.45">
      <c r="B10" s="136" t="s">
        <v>716</v>
      </c>
      <c r="C10" s="137" t="s">
        <v>717</v>
      </c>
      <c r="D10" s="138" t="s">
        <v>718</v>
      </c>
    </row>
    <row r="11" spans="2:4" ht="109.5" customHeight="1" x14ac:dyDescent="0.45">
      <c r="B11" s="136" t="s">
        <v>719</v>
      </c>
      <c r="C11" s="137" t="s">
        <v>720</v>
      </c>
      <c r="D11" s="138" t="s">
        <v>721</v>
      </c>
    </row>
    <row r="12" spans="2:4" ht="111.75" customHeight="1" x14ac:dyDescent="0.45">
      <c r="B12" s="136" t="s">
        <v>722</v>
      </c>
      <c r="C12" s="137" t="s">
        <v>723</v>
      </c>
      <c r="D12" s="138" t="s">
        <v>724</v>
      </c>
    </row>
    <row r="13" spans="2:4" ht="108" customHeight="1" x14ac:dyDescent="0.45">
      <c r="B13" s="136" t="s">
        <v>725</v>
      </c>
      <c r="C13" s="137" t="s">
        <v>726</v>
      </c>
      <c r="D13" s="138" t="s">
        <v>727</v>
      </c>
    </row>
    <row r="14" spans="2:4" ht="19.5" customHeight="1" x14ac:dyDescent="0.45">
      <c r="B14" s="160" t="s">
        <v>728</v>
      </c>
      <c r="C14" s="160"/>
      <c r="D14" s="160"/>
    </row>
    <row r="15" spans="2:4" ht="133.5" customHeight="1" x14ac:dyDescent="0.45">
      <c r="B15" s="139" t="s">
        <v>729</v>
      </c>
      <c r="C15" s="140" t="s">
        <v>730</v>
      </c>
      <c r="D15" s="141" t="s">
        <v>731</v>
      </c>
    </row>
    <row r="16" spans="2:4" ht="111" customHeight="1" x14ac:dyDescent="0.45">
      <c r="B16" s="139" t="s">
        <v>732</v>
      </c>
      <c r="C16" s="140" t="s">
        <v>733</v>
      </c>
      <c r="D16" s="141" t="s">
        <v>734</v>
      </c>
    </row>
    <row r="17" spans="2:4" ht="108.75" customHeight="1" x14ac:dyDescent="0.45">
      <c r="B17" s="139" t="s">
        <v>735</v>
      </c>
      <c r="C17" s="140" t="s">
        <v>736</v>
      </c>
      <c r="D17" s="141" t="s">
        <v>737</v>
      </c>
    </row>
    <row r="18" spans="2:4" ht="132" customHeight="1" x14ac:dyDescent="0.45">
      <c r="B18" s="139" t="s">
        <v>738</v>
      </c>
      <c r="C18" s="140" t="s">
        <v>739</v>
      </c>
      <c r="D18" s="141" t="s">
        <v>740</v>
      </c>
    </row>
    <row r="19" spans="2:4" ht="133.5" customHeight="1" x14ac:dyDescent="0.45">
      <c r="B19" s="139" t="s">
        <v>741</v>
      </c>
      <c r="C19" s="140" t="s">
        <v>742</v>
      </c>
      <c r="D19" s="141" t="s">
        <v>743</v>
      </c>
    </row>
  </sheetData>
  <mergeCells count="4">
    <mergeCell ref="B1:D1"/>
    <mergeCell ref="B4:D4"/>
    <mergeCell ref="B8:D8"/>
    <mergeCell ref="B14:D14"/>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Assumptions</vt:lpstr>
      <vt:lpstr>Historical Financials</vt:lpstr>
      <vt:lpstr>DCF Model</vt:lpstr>
      <vt:lpstr>Comparable Companies</vt:lpstr>
      <vt:lpstr>LBO Model</vt:lpstr>
      <vt:lpstr>Sum of Parts</vt:lpstr>
      <vt:lpstr>Investment Thesis</vt:lpstr>
      <vt:lpstr>DD Flags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romanos valeontis</cp:lastModifiedBy>
  <cp:revision>0</cp:revision>
  <dcterms:created xsi:type="dcterms:W3CDTF">2026-05-15T01:46:56Z</dcterms:created>
  <dcterms:modified xsi:type="dcterms:W3CDTF">2026-05-22T03:28:02Z</dcterms:modified>
  <dc:language>en-US</dc:language>
</cp:coreProperties>
</file>