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oman\Downloads\"/>
    </mc:Choice>
  </mc:AlternateContent>
  <xr:revisionPtr revIDLastSave="0" documentId="13_ncr:1_{0593A800-3D53-4A4E-A6D0-3FC30A6CD84E}" xr6:coauthVersionLast="47" xr6:coauthVersionMax="47" xr10:uidLastSave="{00000000-0000-0000-0000-000000000000}"/>
  <bookViews>
    <workbookView xWindow="-98" yWindow="-98" windowWidth="28996" windowHeight="15675" tabRatio="500" xr2:uid="{00000000-000D-0000-FFFF-FFFF00000000}"/>
  </bookViews>
  <sheets>
    <sheet name="Cover" sheetId="1" r:id="rId1"/>
    <sheet name="Live Market Data" sheetId="2" r:id="rId2"/>
    <sheet name="Assumptions" sheetId="3" r:id="rId3"/>
    <sheet name="Historical Financials" sheetId="4" r:id="rId4"/>
    <sheet name="2026 Guidance Bridge" sheetId="5" r:id="rId5"/>
    <sheet name="Patent Cliff Analysis" sheetId="6" r:id="rId6"/>
    <sheet name="Pipeline Scorecard" sheetId="7" r:id="rId7"/>
    <sheet name="DCF" sheetId="8" r:id="rId8"/>
    <sheet name="Comps" sheetId="9" r:id="rId9"/>
    <sheet name="Risk Matrix" sheetId="10" r:id="rId10"/>
    <sheet name="Investment Verdict" sheetId="11" r:id="rId1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3" i="11" l="1"/>
  <c r="B12" i="11"/>
  <c r="B11" i="11"/>
  <c r="C19" i="9"/>
  <c r="E19" i="9" s="1"/>
  <c r="F19" i="9" s="1"/>
  <c r="G19" i="9" s="1"/>
  <c r="C18" i="9"/>
  <c r="E18" i="9" s="1"/>
  <c r="F18" i="9" s="1"/>
  <c r="E14" i="9"/>
  <c r="H13" i="9"/>
  <c r="H14" i="9" s="1"/>
  <c r="G13" i="9"/>
  <c r="G14" i="9" s="1"/>
  <c r="F13" i="9"/>
  <c r="F14" i="9" s="1"/>
  <c r="E13" i="9"/>
  <c r="I12" i="9"/>
  <c r="H12" i="9"/>
  <c r="G12" i="9"/>
  <c r="F12" i="9"/>
  <c r="E12" i="9"/>
  <c r="D12" i="9"/>
  <c r="I11" i="9"/>
  <c r="H11" i="9"/>
  <c r="C20" i="9" s="1"/>
  <c r="E20" i="9" s="1"/>
  <c r="F20" i="9" s="1"/>
  <c r="G20" i="9" s="1"/>
  <c r="G11" i="9"/>
  <c r="F11" i="9"/>
  <c r="E11" i="9"/>
  <c r="D11" i="9"/>
  <c r="I68" i="8"/>
  <c r="C54" i="8"/>
  <c r="H53" i="8"/>
  <c r="C53" i="8"/>
  <c r="C52" i="8"/>
  <c r="D52" i="8" s="1"/>
  <c r="I45" i="8"/>
  <c r="H30" i="8"/>
  <c r="C30" i="8"/>
  <c r="C29" i="8"/>
  <c r="D29" i="8" s="1"/>
  <c r="I22" i="8"/>
  <c r="D15" i="8"/>
  <c r="D14" i="8"/>
  <c r="D9" i="8"/>
  <c r="D13" i="8" s="1"/>
  <c r="D8" i="8"/>
  <c r="H7" i="8"/>
  <c r="C7" i="8"/>
  <c r="C8" i="8" s="1"/>
  <c r="F6" i="8"/>
  <c r="F9" i="8" s="1"/>
  <c r="F13" i="8" s="1"/>
  <c r="E6" i="8"/>
  <c r="D6" i="8"/>
  <c r="C6" i="8"/>
  <c r="H30" i="7"/>
  <c r="I28" i="7"/>
  <c r="I27" i="7"/>
  <c r="I26" i="7"/>
  <c r="I25" i="7"/>
  <c r="I24" i="7"/>
  <c r="I23" i="7"/>
  <c r="I22" i="7"/>
  <c r="I21" i="7"/>
  <c r="I20" i="7"/>
  <c r="I19" i="7"/>
  <c r="I18" i="7"/>
  <c r="I17" i="7"/>
  <c r="I16" i="7"/>
  <c r="I15" i="7"/>
  <c r="I14" i="7"/>
  <c r="I13" i="7"/>
  <c r="I12" i="7"/>
  <c r="I11" i="7"/>
  <c r="I10" i="7"/>
  <c r="I9" i="7"/>
  <c r="I8" i="7"/>
  <c r="I7" i="7"/>
  <c r="I6" i="7"/>
  <c r="I5" i="7"/>
  <c r="E18" i="6"/>
  <c r="F17" i="6"/>
  <c r="F16" i="6"/>
  <c r="F15" i="6"/>
  <c r="F14" i="6"/>
  <c r="F13" i="6"/>
  <c r="F12" i="6"/>
  <c r="F11" i="6"/>
  <c r="F10" i="6"/>
  <c r="F9" i="6"/>
  <c r="F8" i="6"/>
  <c r="F7" i="6"/>
  <c r="F6" i="6"/>
  <c r="F5" i="6"/>
  <c r="D19" i="5"/>
  <c r="E19" i="5" s="1"/>
  <c r="E18" i="5"/>
  <c r="E17" i="5"/>
  <c r="E16" i="5"/>
  <c r="E15" i="5"/>
  <c r="E14" i="5"/>
  <c r="E13" i="5"/>
  <c r="E12" i="5"/>
  <c r="E11" i="5"/>
  <c r="E10" i="5"/>
  <c r="E9" i="5"/>
  <c r="E8" i="5"/>
  <c r="E7" i="5"/>
  <c r="E6" i="5"/>
  <c r="I45" i="4"/>
  <c r="I44" i="4"/>
  <c r="H44" i="4"/>
  <c r="I43" i="4"/>
  <c r="H43" i="4"/>
  <c r="I38" i="4"/>
  <c r="H38" i="4"/>
  <c r="I37" i="4"/>
  <c r="I36" i="4"/>
  <c r="I35" i="4"/>
  <c r="I33" i="4"/>
  <c r="H33" i="4"/>
  <c r="I31" i="4"/>
  <c r="H31" i="4"/>
  <c r="I30" i="4"/>
  <c r="I24" i="4"/>
  <c r="H24" i="4"/>
  <c r="I22" i="4"/>
  <c r="H22" i="4"/>
  <c r="I20" i="4"/>
  <c r="H20" i="4"/>
  <c r="I19" i="4"/>
  <c r="H19" i="4"/>
  <c r="I17" i="4"/>
  <c r="H17" i="4"/>
  <c r="I16" i="4"/>
  <c r="I15" i="4"/>
  <c r="H15" i="4"/>
  <c r="I13" i="4"/>
  <c r="H13" i="4"/>
  <c r="I11" i="4"/>
  <c r="H11" i="4"/>
  <c r="I9" i="4"/>
  <c r="H9" i="4"/>
  <c r="I8" i="4"/>
  <c r="H8" i="4"/>
  <c r="I5" i="4"/>
  <c r="H5" i="4"/>
  <c r="C73" i="3"/>
  <c r="C60" i="3"/>
  <c r="C61" i="3" s="1"/>
  <c r="C64" i="3" s="1"/>
  <c r="C55" i="3"/>
  <c r="C40" i="3"/>
  <c r="C5" i="3"/>
  <c r="C9" i="3" s="1"/>
  <c r="C12" i="3" s="1"/>
  <c r="C32" i="2"/>
  <c r="C20" i="2"/>
  <c r="C18" i="2"/>
  <c r="C17" i="2" s="1"/>
  <c r="C16" i="1" s="1"/>
  <c r="C13" i="2"/>
  <c r="C49" i="3" s="1"/>
  <c r="C54" i="3" s="1"/>
  <c r="C9" i="2"/>
  <c r="C7" i="2"/>
  <c r="D13" i="9" s="1"/>
  <c r="C24" i="1"/>
  <c r="C23" i="1"/>
  <c r="C17" i="1"/>
  <c r="C15" i="1"/>
  <c r="C14" i="1"/>
  <c r="C12" i="1"/>
  <c r="C11" i="1"/>
  <c r="E63" i="8" l="1"/>
  <c r="F40" i="8"/>
  <c r="F47" i="4"/>
  <c r="D40" i="8"/>
  <c r="H17" i="8"/>
  <c r="D47" i="4"/>
  <c r="F63" i="8"/>
  <c r="G40" i="8"/>
  <c r="G47" i="4"/>
  <c r="D63" i="8"/>
  <c r="E40" i="8"/>
  <c r="E47" i="4"/>
  <c r="G17" i="8"/>
  <c r="C47" i="4"/>
  <c r="F17" i="8"/>
  <c r="G63" i="8"/>
  <c r="H63" i="8"/>
  <c r="H40" i="8"/>
  <c r="D17" i="8"/>
  <c r="E17" i="8"/>
  <c r="D38" i="8"/>
  <c r="D32" i="8"/>
  <c r="D36" i="8" s="1"/>
  <c r="E29" i="8"/>
  <c r="D37" i="8"/>
  <c r="D31" i="8"/>
  <c r="D33" i="8" s="1"/>
  <c r="C56" i="3"/>
  <c r="C57" i="3" s="1"/>
  <c r="C8" i="2"/>
  <c r="C13" i="1" s="1"/>
  <c r="E14" i="8"/>
  <c r="E8" i="8"/>
  <c r="E9" i="8"/>
  <c r="E13" i="8" s="1"/>
  <c r="D61" i="8"/>
  <c r="D55" i="8"/>
  <c r="D59" i="8" s="1"/>
  <c r="E52" i="8"/>
  <c r="D54" i="8"/>
  <c r="D56" i="8" s="1"/>
  <c r="D10" i="8"/>
  <c r="E15" i="8"/>
  <c r="C31" i="8"/>
  <c r="F14" i="8"/>
  <c r="F8" i="8"/>
  <c r="F10" i="8" s="1"/>
  <c r="F15" i="8"/>
  <c r="D60" i="8"/>
  <c r="G6" i="8"/>
  <c r="G18" i="9"/>
  <c r="F21" i="9"/>
  <c r="G21" i="9" s="1"/>
  <c r="I33" i="7"/>
  <c r="I31" i="7"/>
  <c r="C63" i="3"/>
  <c r="C66" i="3" s="1"/>
  <c r="C62" i="3"/>
  <c r="C65" i="3" s="1"/>
  <c r="C67" i="3" s="1"/>
  <c r="F18" i="6"/>
  <c r="I32" i="7"/>
  <c r="D11" i="8" l="1"/>
  <c r="D12" i="8" s="1"/>
  <c r="D16" i="8" s="1"/>
  <c r="D18" i="8" s="1"/>
  <c r="D34" i="8"/>
  <c r="D35" i="8"/>
  <c r="D39" i="8" s="1"/>
  <c r="D41" i="8" s="1"/>
  <c r="D57" i="8"/>
  <c r="D58" i="8"/>
  <c r="D62" i="8" s="1"/>
  <c r="D64" i="8" s="1"/>
  <c r="E61" i="8"/>
  <c r="E55" i="8"/>
  <c r="E59" i="8" s="1"/>
  <c r="F52" i="8"/>
  <c r="E60" i="8"/>
  <c r="E54" i="8"/>
  <c r="E38" i="8"/>
  <c r="E32" i="8"/>
  <c r="E36" i="8" s="1"/>
  <c r="F29" i="8"/>
  <c r="E31" i="8"/>
  <c r="E33" i="8" s="1"/>
  <c r="E37" i="8"/>
  <c r="G15" i="8"/>
  <c r="G9" i="8"/>
  <c r="G13" i="8" s="1"/>
  <c r="G8" i="8"/>
  <c r="G10" i="8" s="1"/>
  <c r="H6" i="8"/>
  <c r="G14" i="8"/>
  <c r="J25" i="6"/>
  <c r="H25" i="6"/>
  <c r="K25" i="6"/>
  <c r="I25" i="6"/>
  <c r="G25" i="6"/>
  <c r="F20" i="6"/>
  <c r="F25" i="6"/>
  <c r="D25" i="6"/>
  <c r="E25" i="6"/>
  <c r="C25" i="6"/>
  <c r="F11" i="8"/>
  <c r="F12" i="8" s="1"/>
  <c r="F16" i="8" s="1"/>
  <c r="F18" i="8" s="1"/>
  <c r="E10" i="8"/>
  <c r="H15" i="8" l="1"/>
  <c r="H9" i="8"/>
  <c r="H13" i="8" s="1"/>
  <c r="H8" i="8"/>
  <c r="H10" i="8" s="1"/>
  <c r="H14" i="8"/>
  <c r="F61" i="8"/>
  <c r="F55" i="8"/>
  <c r="F59" i="8" s="1"/>
  <c r="G52" i="8"/>
  <c r="F60" i="8"/>
  <c r="F54" i="8"/>
  <c r="F56" i="8" s="1"/>
  <c r="G11" i="8"/>
  <c r="G12" i="8" s="1"/>
  <c r="G16" i="8" s="1"/>
  <c r="G18" i="8" s="1"/>
  <c r="E11" i="8"/>
  <c r="E12" i="8" s="1"/>
  <c r="E16" i="8" s="1"/>
  <c r="E18" i="8" s="1"/>
  <c r="F38" i="8"/>
  <c r="F32" i="8"/>
  <c r="F36" i="8" s="1"/>
  <c r="G29" i="8"/>
  <c r="F37" i="8"/>
  <c r="F31" i="8"/>
  <c r="F33" i="8" s="1"/>
  <c r="E34" i="8"/>
  <c r="E35" i="8"/>
  <c r="E39" i="8" s="1"/>
  <c r="E41" i="8" s="1"/>
  <c r="E56" i="8"/>
  <c r="F34" i="8" l="1"/>
  <c r="F35" i="8"/>
  <c r="F39" i="8" s="1"/>
  <c r="F41" i="8" s="1"/>
  <c r="H52" i="8"/>
  <c r="G60" i="8"/>
  <c r="G54" i="8"/>
  <c r="G55" i="8"/>
  <c r="G59" i="8" s="1"/>
  <c r="G61" i="8"/>
  <c r="F57" i="8"/>
  <c r="F58" i="8"/>
  <c r="F62" i="8" s="1"/>
  <c r="F64" i="8" s="1"/>
  <c r="H29" i="8"/>
  <c r="G38" i="8"/>
  <c r="G32" i="8"/>
  <c r="G36" i="8" s="1"/>
  <c r="G37" i="8"/>
  <c r="G31" i="8"/>
  <c r="G33" i="8" s="1"/>
  <c r="H11" i="8"/>
  <c r="H12" i="8"/>
  <c r="H16" i="8" s="1"/>
  <c r="E57" i="8"/>
  <c r="E58" i="8"/>
  <c r="E62" i="8" s="1"/>
  <c r="E64" i="8" s="1"/>
  <c r="H37" i="8" l="1"/>
  <c r="H31" i="8"/>
  <c r="H38" i="8"/>
  <c r="H32" i="8"/>
  <c r="H36" i="8" s="1"/>
  <c r="I19" i="8"/>
  <c r="I20" i="8" s="1"/>
  <c r="I21" i="8" s="1"/>
  <c r="H18" i="8"/>
  <c r="G34" i="8"/>
  <c r="G35" i="8"/>
  <c r="G39" i="8" s="1"/>
  <c r="G41" i="8" s="1"/>
  <c r="G56" i="8"/>
  <c r="H60" i="8"/>
  <c r="H54" i="8"/>
  <c r="H55" i="8"/>
  <c r="H59" i="8" s="1"/>
  <c r="H61" i="8"/>
  <c r="G57" i="8" l="1"/>
  <c r="G58" i="8" s="1"/>
  <c r="G62" i="8" s="1"/>
  <c r="G64" i="8" s="1"/>
  <c r="I23" i="8"/>
  <c r="E76" i="8"/>
  <c r="H33" i="8"/>
  <c r="H56" i="8"/>
  <c r="H57" i="8" l="1"/>
  <c r="H58" i="8" s="1"/>
  <c r="H62" i="8" s="1"/>
  <c r="H34" i="8"/>
  <c r="H35" i="8" s="1"/>
  <c r="H39" i="8" s="1"/>
  <c r="F76" i="8"/>
  <c r="I24" i="8"/>
  <c r="I42" i="8" l="1"/>
  <c r="I43" i="8" s="1"/>
  <c r="H41" i="8"/>
  <c r="H64" i="8"/>
  <c r="I65" i="8"/>
  <c r="I66" i="8" s="1"/>
  <c r="I67" i="8" s="1"/>
  <c r="G76" i="8"/>
  <c r="I25" i="8"/>
  <c r="H76" i="8" l="1"/>
  <c r="H21" i="8"/>
  <c r="C43" i="3" s="1"/>
  <c r="I69" i="8"/>
  <c r="E78" i="8"/>
  <c r="I44" i="8"/>
  <c r="E77" i="8" l="1"/>
  <c r="I46" i="8"/>
  <c r="F78" i="8"/>
  <c r="I70" i="8"/>
  <c r="C11" i="11"/>
  <c r="G78" i="8" l="1"/>
  <c r="I71" i="8"/>
  <c r="F77" i="8"/>
  <c r="I47" i="8"/>
  <c r="G77" i="8" l="1"/>
  <c r="I48" i="8"/>
  <c r="H23" i="8"/>
  <c r="C45" i="3" s="1"/>
  <c r="C13" i="11" s="1"/>
  <c r="H78" i="8"/>
  <c r="H22" i="8" l="1"/>
  <c r="C44" i="3" s="1"/>
  <c r="H77" i="8"/>
  <c r="C12" i="11" l="1"/>
  <c r="C46" i="3"/>
  <c r="C74" i="3" s="1"/>
  <c r="C77" i="3" s="1"/>
  <c r="C20" i="1" l="1"/>
  <c r="C78" i="3"/>
  <c r="C21" i="1" l="1"/>
  <c r="C79" i="3"/>
  <c r="C22" i="1" s="1"/>
  <c r="C76" i="3"/>
  <c r="B7" i="11"/>
  <c r="C19" i="1" l="1"/>
  <c r="B4" i="11"/>
</calcChain>
</file>

<file path=xl/sharedStrings.xml><?xml version="1.0" encoding="utf-8"?>
<sst xmlns="http://schemas.openxmlformats.org/spreadsheetml/2006/main" count="1282" uniqueCount="949">
  <si>
    <t>EQUITY RESEARCH REPORT</t>
  </si>
  <si>
    <t>NOVO NORDISK A/S</t>
  </si>
  <si>
    <t>NYSE: NVO  |  CPSE: NOVO-B  |  Large-Cap Pharma  |  May 2026</t>
  </si>
  <si>
    <t>After a 56% Collapse: Buying Opportunity or Value Trap?</t>
  </si>
  <si>
    <t>Analyst</t>
  </si>
  <si>
    <t>Romanos Valeontis</t>
  </si>
  <si>
    <t>Date</t>
  </si>
  <si>
    <t>22 May 2026</t>
  </si>
  <si>
    <t>Version</t>
  </si>
  <si>
    <t>Ticker</t>
  </si>
  <si>
    <t>NYSE: NVO  |  CPSE: NOVO-B</t>
  </si>
  <si>
    <t>Share Price (NVO ADR)</t>
  </si>
  <si>
    <t>Market Cap ($bn)</t>
  </si>
  <si>
    <t>Enterprise Value ($bn)</t>
  </si>
  <si>
    <t>P/E (trailing TTM)</t>
  </si>
  <si>
    <t>EV/EBITDA (TTM)</t>
  </si>
  <si>
    <t>Dividend Yield</t>
  </si>
  <si>
    <t>YTD Performance</t>
  </si>
  <si>
    <t>RECOMMENDATION</t>
  </si>
  <si>
    <t>12-Month Target</t>
  </si>
  <si>
    <t>Upside to Target</t>
  </si>
  <si>
    <t>Total Return (12M)</t>
  </si>
  <si>
    <t>Off ATH (Jun 2024 $137.40)</t>
  </si>
  <si>
    <t>Key Catalyst</t>
  </si>
  <si>
    <t>Wegovy pill Q3 2026 prescription trajectory + Medicare Bridge launch 1 Jul 2026</t>
  </si>
  <si>
    <t>Key Risk</t>
  </si>
  <si>
    <t>Wegovy WAC -50% cut effective Jan 2027 + CagriSema commercial weakness</t>
  </si>
  <si>
    <t>MODEL STRUCTURE (CFI standard): Single source of truth principle. All rationales use 'FORMULA = ...' prefix per BNP template convention. Reported and adjusted figures shown separately; FCF reported and normalised.</t>
  </si>
  <si>
    <t>DISCLAIMER: For portfolio/educational purposes. Not investment advice. Data from Novo Nordisk AR 2025, Q1 2026 Form 6-K, IQVIA, Google Finance, Yahoo Finance, S&amp;P Capital IQ, Perplexity research, as of 22 May 2026.</t>
  </si>
  <si>
    <t>LIVE MARKET DATA  |  Single Source of Truth  |  Novo Nordisk A/S  |  22 May 2026</t>
  </si>
  <si>
    <t>DATA INTEGRITY: All market data on this sheet is the SOLE PRIMARY INPUT for the entire model. Modify any value here and every dependent calculation (Cover, Assumptions, DCF, Comps, Verdict) updates automatically via cross-sheet formula links.</t>
  </si>
  <si>
    <t>Metric</t>
  </si>
  <si>
    <t>Value</t>
  </si>
  <si>
    <t>Format</t>
  </si>
  <si>
    <t>Source</t>
  </si>
  <si>
    <t>Notes</t>
  </si>
  <si>
    <t>PRICING &amp; MARKET CAP (LIVE)</t>
  </si>
  <si>
    <t>Share Price (NVO ADR) — closing 22 May 2026</t>
  </si>
  <si>
    <t>USD/share</t>
  </si>
  <si>
    <t>Google Finance / LIVE</t>
  </si>
  <si>
    <t>Intraday $44.46–$45.18. Pre-market $45.17, after-hours $44.85. PRIMARY INPUT — entire model recalculates if changed.</t>
  </si>
  <si>
    <t>Shares Outstanding (millions)</t>
  </si>
  <si>
    <t>millions</t>
  </si>
  <si>
    <t>Novo Nordisk Q1 2026 PR + AR 2025</t>
  </si>
  <si>
    <t>4,448.7m avg diluted Q1 2026 (Appendix 7). 4,465m year-end FY25. Estimate of current basic.</t>
  </si>
  <si>
    <t>Market Capitalisation ($m)</t>
  </si>
  <si>
    <t>USDm</t>
  </si>
  <si>
    <t>FORMULA = C5×C6</t>
  </si>
  <si>
    <t>FORMULA = Share Price × Shares Outstanding. Derives ~$199.4bn. Google reports $199.65bn; Perplexity $198.9bn. Cross-check ✓</t>
  </si>
  <si>
    <t>Enterprise Value ($m)</t>
  </si>
  <si>
    <t>FORMULA = C7 + C9</t>
  </si>
  <si>
    <t>FORMULA = Market Cap + Net Debt. Derives ~$216bn vs Perplexity $218bn (slightly stale net debt).</t>
  </si>
  <si>
    <t>Net Debt ($m) — Q1 2026 (31 Mar 2026)</t>
  </si>
  <si>
    <t>FORMULA = DKK 115,919m / FX</t>
  </si>
  <si>
    <t>Q1 2026 Appendix: Borrowings non-cur 119,172 + cur 27,210 - lease 8,837 - cash 21,127 - marketable 499 = DKK 115,919m. Up from DKK 95,424m YE25 (Akero closed Dec 2025).</t>
  </si>
  <si>
    <t>VALUATION MULTIPLES (LIVE / DERIVED)</t>
  </si>
  <si>
    <t>P/E Ratio (Trailing TTM)</t>
  </si>
  <si>
    <t>× earnings</t>
  </si>
  <si>
    <t>TTM EPS $4.26 (DKK 23.03 / 5.40 USD/DKK ADR ratio). Sharp de-rate from 27-38× P/E in 2022-24. 12mo avg P/E was 15.2× (Perplexity).</t>
  </si>
  <si>
    <t>P/E Ratio (Forward FY2026E)</t>
  </si>
  <si>
    <t>× FY26 EPS</t>
  </si>
  <si>
    <t>GuruFocus / Marketscreener / LIVE</t>
  </si>
  <si>
    <t>Forward higher than trailing because consensus FY26 EPS reset lower on -4% to -12% CER guidance.</t>
  </si>
  <si>
    <t>Implied Forward EPS (USD, FY26E)</t>
  </si>
  <si>
    <t>FORMULA = C5/C12</t>
  </si>
  <si>
    <t>FORMULA = Share Price / Forward P/E. Cross-check ~$3.36 forward EPS = DKK 22.78 (slight decline from FY25 DKK 23.03 = guidance midpoint).</t>
  </si>
  <si>
    <t>× EBITDA</t>
  </si>
  <si>
    <t>Perplexity research / LIVE</t>
  </si>
  <si>
    <t>TTM EBITDA $26.7bn (DKK 149,640m / 5.60). Peer median 13.8× = NVO trades at ~41% discount.</t>
  </si>
  <si>
    <t>EV/Sales (TTM)</t>
  </si>
  <si>
    <t>× revenue</t>
  </si>
  <si>
    <t>TTM sales $55.2bn. Peer median ~4.8× (ex-LLY).</t>
  </si>
  <si>
    <t>EV/FCF (TTM)</t>
  </si>
  <si>
    <t>× FCF</t>
  </si>
  <si>
    <t>Distorted by FY24 negative FCF (Catalent $11bn outflow). Normalized EV/FCF ~13× excl Catalent.</t>
  </si>
  <si>
    <t>Dividend Yield (FY2025 DPS / Price)</t>
  </si>
  <si>
    <t>%</t>
  </si>
  <si>
    <t>FORMULA = C18/C5</t>
  </si>
  <si>
    <t>FORMULA = FY25 Total DPS ($1.73) / Current Price. Google Finance reports 4.01%. Highest div yield among large-cap pharma.</t>
  </si>
  <si>
    <t>FY2025 Total DPS (USD)</t>
  </si>
  <si>
    <t>FORMULA = DKK 11.70 / FX</t>
  </si>
  <si>
    <t>DKK 11.70 FY25 DPS (interim 3.75 paid Aug 25, final 7.95 to be paid Mar 26). At 6.78 DKK/USD = $1.73.</t>
  </si>
  <si>
    <t>YTD Performance (2026)</t>
  </si>
  <si>
    <t>FinanceCharts / LIVE</t>
  </si>
  <si>
    <t>NVO -22.11% YTD vs S&amp;P 500 ~+5%, vs STOXX Europe 600 Healthcare ~-3%. Major drawdowns: Feb 4 (FY26 guide) -15%, Feb 23 (REDEFINE 4) -16%.</t>
  </si>
  <si>
    <t>Off ATH ($137.40 Jun 2024)</t>
  </si>
  <si>
    <t>FORMULA = C5/137.40 - 1</t>
  </si>
  <si>
    <t>FORMULA = Current / ATH - 1. Max drawdown 56.46% on 30 Mar 2026. Currently down -67% from ATH.</t>
  </si>
  <si>
    <t>52-Week Low (USD)</t>
  </si>
  <si>
    <t>Yahoo Finance / LIVE</t>
  </si>
  <si>
    <t>Set 30 Mar 2026 (post-CagriSema REDEFINE 4 failure).</t>
  </si>
  <si>
    <t>52-Week High (USD)</t>
  </si>
  <si>
    <t>Set early Q3 2025 (pre-guidance cuts). Off 52-wk high -44.8% currently.</t>
  </si>
  <si>
    <t>Consensus 12M Target (Avg)</t>
  </si>
  <si>
    <t>S&amp;P Global (14 analysts) / LIVE</t>
  </si>
  <si>
    <t>Buy consensus. Range $39.49 (low) - $64.07 (high). GS Neutral $41 (Mar 2026 cut from $63). MS Underweight $47.</t>
  </si>
  <si>
    <t>Risk-Free Rate (Danish 10Y govt bond)</t>
  </si>
  <si>
    <t>TradingEconomics / LIVE (Apr 2026)</t>
  </si>
  <si>
    <t>Danish 10Y yield 2.86-2.95% in Apr 2026 — used 2.90% midpoint. AAA-rated sovereign. Used in WACC build.</t>
  </si>
  <si>
    <t>USD/DKK Spot (29 Apr 2026)</t>
  </si>
  <si>
    <t>DKK/USD</t>
  </si>
  <si>
    <t>Novo Q1 2026 Appendix</t>
  </si>
  <si>
    <t>Q1 2026 spot rate 638 DKK/100 USD = 6.38; recent strengthening of USD vs DKK. Used 6.78 average for DKK→USD conversions.</t>
  </si>
  <si>
    <t>ANALYST CONSENSUS BREAKDOWN (LIVE — 22 May 2026)</t>
  </si>
  <si>
    <t>Buy / Hold / Sell ratings</t>
  </si>
  <si>
    <t>5 / 9 / 0</t>
  </si>
  <si>
    <t>S&amp;P + Investing.com / LIVE</t>
  </si>
  <si>
    <t>14 analysts total. Buy-skewed. Investing.com (5 analysts): 5 Buy 0 Sell. S&amp;P (14 analysts): Buy consensus.</t>
  </si>
  <si>
    <t>Goldman Sachs (downgraded Mar 2026)</t>
  </si>
  <si>
    <t>Neutral / $41</t>
  </si>
  <si>
    <t>Perplexity / LIVE</t>
  </si>
  <si>
    <t>Cut from Buy to Neutral and PT from $63 to $41 in March 2026 post-CagriSema setback.</t>
  </si>
  <si>
    <t>Morgan Stanley</t>
  </si>
  <si>
    <t>Underweight / $47</t>
  </si>
  <si>
    <t>Most bearish of large brokers. PT $47 set Sep 2025.</t>
  </si>
  <si>
    <t>Citi</t>
  </si>
  <si>
    <t>Buy / DKK 290</t>
  </si>
  <si>
    <t>TipRanks / LIVE (May 2026)</t>
  </si>
  <si>
    <t>Raised PT DKK 275 → 290 in May 2026. Bullish camp.</t>
  </si>
  <si>
    <t>Consensus PT Upside to Current Price</t>
  </si>
  <si>
    <t>FORMULA = C23/C5 - 1</t>
  </si>
  <si>
    <t>FORMULA = Consensus PT / Current Price - 1. Modest implied upside. Targets clustered close to current price = 'show-me' stock.</t>
  </si>
  <si>
    <t>Q1 2026 KEY METRICS (CONFIRMED — 6 May 2026 PR)</t>
  </si>
  <si>
    <t>Q1 2026 Reported Net Sales (DKKm)</t>
  </si>
  <si>
    <t>DKKm</t>
  </si>
  <si>
    <t>Novo Q1 2026 PR / CONFIRMED</t>
  </si>
  <si>
    <t>+24% DKK / +32% CER. Inflated by $4.2bn (DKK 26.8bn) 340B Drug Pricing Program provision reversal.</t>
  </si>
  <si>
    <t>Q1 2026 Adjusted Net Sales (DKKm)</t>
  </si>
  <si>
    <t>-10% DKK / -4% CER. Underlying decline driven by US realised prices, partly offset by GLP-1 volume growth.</t>
  </si>
  <si>
    <t>Q1 2026 Adjusted EBIT (DKKm)</t>
  </si>
  <si>
    <t>-15% DKK / -6% CER. Adjusted operating margin 46.9% (vs reported 61.6% incl 340B).</t>
  </si>
  <si>
    <t>Q1 2026 Wegovy Pill Sales (DKKm)</t>
  </si>
  <si>
    <t>~$354m. Nearly 2× analyst consensus of DKK 1.16bn. 1.3m Q1 prescriptions; 2m+ since Jan launch; 200k+ weekly by Apr 17.</t>
  </si>
  <si>
    <t>Q1 2026 Wegovy Injectable Sales (DKKm)</t>
  </si>
  <si>
    <t>+5% DKK / +12% CER.</t>
  </si>
  <si>
    <t>Q1 2026 Ozempic Sales (DKKm)</t>
  </si>
  <si>
    <t>-15% DKK / -8% CER. US GLP-1 diabetes -16% CER.</t>
  </si>
  <si>
    <t>2026 Guidance — Adjusted Sales Growth (CER)</t>
  </si>
  <si>
    <t>-4% to -12%</t>
  </si>
  <si>
    <t>Novo Q1 2026 PR / RAISED</t>
  </si>
  <si>
    <t>Raised from -5% to -13% in May 2026. On non-adjusted basis (incl 340B), midpoint = -1% sales / +11% EBIT.</t>
  </si>
  <si>
    <t>2026 Guidance — Adjusted EBIT Growth (CER)</t>
  </si>
  <si>
    <t>Same range as sales (both excl 340B reversal).</t>
  </si>
  <si>
    <t>2026 Guidance — Capex (DKKbn)</t>
  </si>
  <si>
    <t>DKKbn</t>
  </si>
  <si>
    <t>Novo Q1 2026 PR</t>
  </si>
  <si>
    <t>Down from DKK 60bn in FY25. Capex declines in coming years per mgmt.</t>
  </si>
  <si>
    <t>2026 Guidance — Free Cash Flow (DKKbn)</t>
  </si>
  <si>
    <t>36 to 46</t>
  </si>
  <si>
    <t>Raised from DKK 35-45bn. Midpoint DKK 41bn = $6.0bn.</t>
  </si>
  <si>
    <t>ASSUMPTIONS  |  Novo Nordisk A/S  |  Source of Truth — drives all valuation</t>
  </si>
  <si>
    <t>ASSUMPTIONS ARE THE SECOND SOURCE OF TRUTH after Live Market Data. All forward-looking model outputs (DCF, Comps, Verdict) derive from this sheet. Change any cell here and the entire model re-derives. Per BNP/CFI standard: 'FORMULA = ...' lead word in rationale cells means derived; hardcoded values labelled with source.</t>
  </si>
  <si>
    <t>Assumption</t>
  </si>
  <si>
    <t>Unit</t>
  </si>
  <si>
    <t>Source / Rationale</t>
  </si>
  <si>
    <t>Confidence</t>
  </si>
  <si>
    <t>COST OF CAPITAL — BOTTOM-UP WACC BUILD</t>
  </si>
  <si>
    <t>% annual</t>
  </si>
  <si>
    <t>LINK to Live Market Data C24. Danish 10Y yield 2.86-2.95% in Apr 2026. AAA sovereign. Novo Nordisk is Danish-listed.</t>
  </si>
  <si>
    <t>HIGH</t>
  </si>
  <si>
    <t>Equity Risk Premium (Europe, large-cap)</t>
  </si>
  <si>
    <t>Damodaran Jan 2026 mature Europe ERP ~4.5-5.0%. Use 5.0% midpoint for large-cap pharma.</t>
  </si>
  <si>
    <t>Beta (β) — NVO vs MSCI Europe Healthcare</t>
  </si>
  <si>
    <t>—</t>
  </si>
  <si>
    <t>Yahoo reports β 0.85 for NVO; Healthcare sector typically 0.7-0.9. Below market β reflects defensive earnings (yet volatile share due to GLP-1 narrative shifts).</t>
  </si>
  <si>
    <t>MEDIUM</t>
  </si>
  <si>
    <t>GLP-1 / Pharma Industry Risk Premium (add-on)</t>
  </si>
  <si>
    <t>Explicit add-on for pharma-specific risks: patent cliff, clinical trial failure (REDEFINE 4 recent example), pricing pressure (MFN), regulatory (FDA). 100bps standard for moderate-pipeline-risk pharma.</t>
  </si>
  <si>
    <t>Cost of Equity [Ke = Rf + β × ERP + IRP]</t>
  </si>
  <si>
    <t>FORMULA = Rf + β × ERP + Industry Risk Premium = 2.90% + 0.85×5.0% + 1.0% = 8.15%. Novo has minor debt (~10% of EV), so Ke ≈ WACC for valuation purposes.</t>
  </si>
  <si>
    <t>DERIVED</t>
  </si>
  <si>
    <t>After-tax Cost of Debt (Kd × (1-t))</t>
  </si>
  <si>
    <t>Borrowings DKK 146bn (Q1 26). Investment-grade A1/AA-. Pre-tax Kd ~3.2% × (1-0.22 tax) = 2.5%.</t>
  </si>
  <si>
    <t>Debt / Total Capital (D/D+E)</t>
  </si>
  <si>
    <t>% weight</t>
  </si>
  <si>
    <t>Net debt $17bn / EV $216bn = ~8%. Use 10% as conservative target (mgmt has been levering up post-Catalent + Akero).</t>
  </si>
  <si>
    <t>WACC [Ke × (1-D/V) + Kd × D/V]</t>
  </si>
  <si>
    <t>FORMULA = 8.15% × 90% + 2.5% × 10% = 7.59%. Used in DCF.</t>
  </si>
  <si>
    <t>LONG-RUN GROWTH &amp; MARGIN ASSUMPTIONS</t>
  </si>
  <si>
    <t>Terminal Growth Rate (g)</t>
  </si>
  <si>
    <t>% perpetuity</t>
  </si>
  <si>
    <t>Long-term global nominal GDP growth ~3%. Use 2.5% for mature pharma — slight discount for patent-driven cyclicality.</t>
  </si>
  <si>
    <t>Long-Run EBITDA Margin (post-2030 normalised)</t>
  </si>
  <si>
    <t>% of sales</t>
  </si>
  <si>
    <t>FY21-24 ranged 46-51%. FY25 49% (incl ~DKK 8bn restructuring). LT margin assumes Wegovy pill mix + post patent-cliff biosimilar pressure -300-500bps from peak.</t>
  </si>
  <si>
    <t>Long-Run Revenue CAGR (2030-2035)</t>
  </si>
  <si>
    <t>% CAGR</t>
  </si>
  <si>
    <t>Post-2030 terminal phase: Akero EFX + zenagamtide + Wegovy pill EU/intl ramp = mid-single-digit growth as semaglutide goes biosimilar.</t>
  </si>
  <si>
    <t>DCF SCENARIO PARAMETERS (5-YEAR EXPLICIT FORECAST FY26E-FY30E)</t>
  </si>
  <si>
    <t>FY2025A Net Sales (DKKm) — base year</t>
  </si>
  <si>
    <t>AR 2025 5-year overview. Starting point for all scenarios.</t>
  </si>
  <si>
    <t>FY2025A Adjusted EBIT (DKKm)</t>
  </si>
  <si>
    <t>Adjusted EBIT excl DKK 8bn restructuring = 127,658 + 8,000 ≈ 135,700. PE FCF normalisation standard.</t>
  </si>
  <si>
    <t>FY2025A EBITDA (DKKm)</t>
  </si>
  <si>
    <t>AR 2025 5-year overview.</t>
  </si>
  <si>
    <t>Revenue CAGR FY26E-FY30E — BULL CASE</t>
  </si>
  <si>
    <t>'Underestimated Pipeline'. Amycretin Ph3 data superior, oral market expands faster than expected, Medicare unlocks. NVO re-rates toward pipeline-rich pharma multiples. Mid of brief 10-12%.</t>
  </si>
  <si>
    <t>LOW</t>
  </si>
  <si>
    <t>Revenue CAGR FY26E-FY30E — BASE CASE</t>
  </si>
  <si>
    <t>'Franchise Stabilisation'. Wegovy pill takes oral mkt share, CagriSema narrow approval Q4 26, Medicare Bridge partial. Revenue recovers from 2027. Mid of brief +4 to +6%.</t>
  </si>
  <si>
    <t>Revenue CAGR FY26E-FY30E — BEAR CASE</t>
  </si>
  <si>
    <t>'Value Trap'. CagriSema not meaningfully approved or commercially weak, Lilly dominates, Wegovy pill disappoints in EU, Medicare Bridge stalls. Revenue declines through 2028. Brief: -3 to 0% range.</t>
  </si>
  <si>
    <t>Terminal EBITDA Margin — BULL</t>
  </si>
  <si>
    <t>Returns to FY24 peak margin. Wegovy pill scale + cost discipline post-2025 restructuring.</t>
  </si>
  <si>
    <t>Terminal EBITDA Margin — BASE</t>
  </si>
  <si>
    <t>Most likely outcome. -400bps from FY24 peak reflects MFN price cut, biosimilar emergence.</t>
  </si>
  <si>
    <t>Terminal EBITDA Margin — BEAR</t>
  </si>
  <si>
    <t>Brief specifies 35% in 'Value Trap' scenario. Reflects severe price competition + lower R&amp;D leverage.</t>
  </si>
  <si>
    <t>Exit EV/EBITDA Multiple — BULL</t>
  </si>
  <si>
    <t>Returns to peer median (Roche 12.9x, AZN 15.2x, NVS 14.7x). Re-rating thesis.</t>
  </si>
  <si>
    <t>Exit EV/EBITDA Multiple — BASE</t>
  </si>
  <si>
    <t>Partial re-rating from 8.1x current toward peer median. Holds discount for pipeline risk.</t>
  </si>
  <si>
    <t>Exit EV/EBITDA Multiple — BEAR</t>
  </si>
  <si>
    <t>Stays near current 8.1x. Reflects permanent value destruction if GLP-1 thesis breaks. Comparable to 2008 pharma re-rate.</t>
  </si>
  <si>
    <t>SCENARIO PROBABILITY WEIGHTS</t>
  </si>
  <si>
    <t>Bull Case Probability</t>
  </si>
  <si>
    <t>% prob</t>
  </si>
  <si>
    <t>Wegovy pill maintains 200k+/wk + CagriSema Q4 26 approval clean + Medicare unlocks. Lower than 35% used for BNP because pharma binary catalysts riskier than bank capital management.</t>
  </si>
  <si>
    <t>Base Case Probability</t>
  </si>
  <si>
    <t>Most likely. Wegovy pill slows but stabilises; CagriSema narrow approval; price cuts hurt but Medicare adds volume.</t>
  </si>
  <si>
    <t>Bear Case Probability</t>
  </si>
  <si>
    <t>Higher than typical bear weight because: (1) management credibility damaged, (2) FY26 guide already ugly, (3) Lilly orforglipron + retatrutide threat real, (4) Wegovy WAC -50% Jan 27 unprecedented.</t>
  </si>
  <si>
    <t>Probability Sum (must = 100%) — CHECK</t>
  </si>
  <si>
    <t>FORMULA = Bull + Base + Bear = 100%. Integrity check.</t>
  </si>
  <si>
    <t>CHECK</t>
  </si>
  <si>
    <t>DCF SCENARIO TARGETS (link from DCF sheet)</t>
  </si>
  <si>
    <t>DCF Target — BULL (USD/ADR)</t>
  </si>
  <si>
    <t>USD/ADR</t>
  </si>
  <si>
    <t>LINK to DCF!H21 (Bull scenario per-ADR equity value).</t>
  </si>
  <si>
    <t>LINKED</t>
  </si>
  <si>
    <t>DCF Target — BASE (USD/ADR)</t>
  </si>
  <si>
    <t>LINK to DCF!H22 (Base scenario per-ADR equity value).</t>
  </si>
  <si>
    <t>DCF Target — BEAR (USD/ADR)</t>
  </si>
  <si>
    <t>LINK to DCF!H23 (Bear scenario per-ADR equity value).</t>
  </si>
  <si>
    <t>DCF Probability-Weighted Target (USD/ADR)</t>
  </si>
  <si>
    <t>FORMULA = Bull×P(bull) + Base×P(base) + Bear×P(bear).</t>
  </si>
  <si>
    <t>P/E METHOD — SCENARIO TARGETS</t>
  </si>
  <si>
    <t>Forward EPS (USD) — Consensus FY26E</t>
  </si>
  <si>
    <t>LINK to Live Market Data!C13 (implied forward EPS = Price/Fwd P/E).</t>
  </si>
  <si>
    <t>P/E Multiple — BULL</t>
  </si>
  <si>
    <t>× EPS</t>
  </si>
  <si>
    <t>Re-rate to large-cap pharma median (Roche fwd 16, NVS fwd 17, AZN fwd 18). Bull = match AZN.</t>
  </si>
  <si>
    <t>P/E Multiple — BASE</t>
  </si>
  <si>
    <t>Modest re-rate from current 13.4x. Maintains some discount for de-rating risk.</t>
  </si>
  <si>
    <t>P/E Multiple — BEAR</t>
  </si>
  <si>
    <t>Trough multiple, similar to 2008 pharma. Below Sanofi current 9x.</t>
  </si>
  <si>
    <t>P/E Implied Price — BULL</t>
  </si>
  <si>
    <t>FORMULA = Bull P/E × Forward EPS.</t>
  </si>
  <si>
    <t>P/E Implied Price — BASE</t>
  </si>
  <si>
    <t>FORMULA = Base P/E × Forward EPS.</t>
  </si>
  <si>
    <t>P/E Implied Price — BEAR</t>
  </si>
  <si>
    <t>FORMULA = Bear P/E × Bear EPS (85% of consensus = stressed).</t>
  </si>
  <si>
    <t>P/E Probability-Weighted Target</t>
  </si>
  <si>
    <t>EV/EBITDA METHOD — SCENARIO TARGETS</t>
  </si>
  <si>
    <t>FY2026E EBITDA (DKKm) — base for multiple</t>
  </si>
  <si>
    <t>FORMULA = FY25 EBITDA × 0.96 (incorporates guidance midpoint -4% adj). =~DKK 143,654m. Consensus per Perplexity DKK 142,921m. Cross-check ✓</t>
  </si>
  <si>
    <t>EV/EBITDA Implied EV — BULL (DKKm)</t>
  </si>
  <si>
    <t>FORMULA = FY26E EBITDA × Bull Exit Multiple (14.0x).</t>
  </si>
  <si>
    <t>EV/EBITDA Implied EV — BASE (DKKm)</t>
  </si>
  <si>
    <t>FORMULA = FY26E EBITDA × Base Exit Multiple (11.0x).</t>
  </si>
  <si>
    <t>EV/EBITDA Implied EV — BEAR (DKKm)</t>
  </si>
  <si>
    <t>FORMULA = FY26E EBITDA × Bear Exit Multiple (7.5x).</t>
  </si>
  <si>
    <t>EV/EBITDA Implied Equity / ADR — BULL</t>
  </si>
  <si>
    <t>FORMULA = (Implied EV - Net Debt DKK 115,919m) / 4,435m shares / FX. Bull case ADR.</t>
  </si>
  <si>
    <t>EV/EBITDA Implied Equity / ADR — BASE</t>
  </si>
  <si>
    <t>FORMULA = (Implied EV - Net Debt) / shares / FX. Base case ADR.</t>
  </si>
  <si>
    <t>EV/EBITDA Implied Equity / ADR — BEAR</t>
  </si>
  <si>
    <t>FORMULA = (Implied EV - Net Debt) / shares / FX. Bear case ADR.</t>
  </si>
  <si>
    <t>EV/EBITDA Probability-Weighted Target</t>
  </si>
  <si>
    <t>METHOD WEIGHTS &amp; FINAL TARGET</t>
  </si>
  <si>
    <t>Weight — DCF (prob-weighted)</t>
  </si>
  <si>
    <t>Highest weight: most rigorous, scenario-driven, captures pipeline and margin pressure dynamics.</t>
  </si>
  <si>
    <t>Weight — P/E</t>
  </si>
  <si>
    <t>Cross-check via peer multiples. Reflects market-relative valuation.</t>
  </si>
  <si>
    <t>Weight — EV/EBITDA</t>
  </si>
  <si>
    <t>Captures capital structure (net debt rising). Less weight than P/E because pharma is more EPS-driven.</t>
  </si>
  <si>
    <t>Weight Sum (must = 100%) — CHECK</t>
  </si>
  <si>
    <t>FORMULA = DCF + P/E + EV/EBITDA = 100%.</t>
  </si>
  <si>
    <t>★ COMPOSITE TARGET (math-driven, pre-overlay) ★</t>
  </si>
  <si>
    <t>FORMULA = DCF target × 50% + P/E target × 30% + EV/EBITDA target × 20%. THIS IS THE MATH-DERIVED OUTPUT.</t>
  </si>
  <si>
    <t>Analyst Overlay (transparent input — 0% baseline)</t>
  </si>
  <si>
    <t>% adj</t>
  </si>
  <si>
    <t>Per user instruction: NO premium overlay. Math drives the target. Cell exists for transparency only; set to 0%.</t>
  </si>
  <si>
    <t>OVERLAY</t>
  </si>
  <si>
    <t>Recommendation (derived from upside)</t>
  </si>
  <si>
    <t>rating</t>
  </si>
  <si>
    <t>FORMULA = IF Upside &gt; 20% then BUY, elseif &gt; 0% then HOLD, else AVOID. Math-driven rating.</t>
  </si>
  <si>
    <t>★ 12-MONTH TARGET PRICE ★</t>
  </si>
  <si>
    <t>FORMULA = Composite Target × (1 + Overlay). With overlay = 0%, this equals C74.</t>
  </si>
  <si>
    <t>Upside to Target Price</t>
  </si>
  <si>
    <t>FORMULA = Target / Current Price - 1.</t>
  </si>
  <si>
    <t>★ TOTAL RETURN (Price + Dividend) ★</t>
  </si>
  <si>
    <t>FORMULA = Upside + Dividend Yield. 12-month total return.</t>
  </si>
  <si>
    <t>HISTORICAL FINANCIALS  |  FY2021-FY2025  |  All figures DKKm unless noted  |  Source: AR 2025 5-year overview</t>
  </si>
  <si>
    <t>FY2021A</t>
  </si>
  <si>
    <t>FY2022A</t>
  </si>
  <si>
    <t>FY2023A</t>
  </si>
  <si>
    <t>FY2024A</t>
  </si>
  <si>
    <t>FY2025A</t>
  </si>
  <si>
    <t>5Y CAGR</t>
  </si>
  <si>
    <t>FY25 USDm</t>
  </si>
  <si>
    <t>INCOME STATEMENT (DKKm)</t>
  </si>
  <si>
    <t>Net Sales</t>
  </si>
  <si>
    <t xml:space="preserve">    Growth at CER (%)</t>
  </si>
  <si>
    <t xml:space="preserve">    Growth as reported (%)</t>
  </si>
  <si>
    <t>Cost of Goods Sold</t>
  </si>
  <si>
    <t>Gross Profit</t>
  </si>
  <si>
    <t xml:space="preserve">    Gross Margin (%)</t>
  </si>
  <si>
    <t>Sales &amp; Distribution Costs</t>
  </si>
  <si>
    <t xml:space="preserve">    S&amp;D % of Sales</t>
  </si>
  <si>
    <t>R&amp;D Costs</t>
  </si>
  <si>
    <t xml:space="preserve">    R&amp;D % of Sales</t>
  </si>
  <si>
    <t>Administrative Costs</t>
  </si>
  <si>
    <t>Other Operating Income / (Expense)</t>
  </si>
  <si>
    <t>Operating Profit (EBIT)</t>
  </si>
  <si>
    <t xml:space="preserve">    Operating Margin (%)</t>
  </si>
  <si>
    <t>Depreciation, Amortisation &amp; Impairments</t>
  </si>
  <si>
    <t>EBITDA</t>
  </si>
  <si>
    <t xml:space="preserve">    EBITDA Margin (%)</t>
  </si>
  <si>
    <t>Net Profit</t>
  </si>
  <si>
    <t xml:space="preserve">    Net Profit Margin (%)</t>
  </si>
  <si>
    <t>Adjusted Net Profit</t>
  </si>
  <si>
    <t>Diluted EPS (DKK)</t>
  </si>
  <si>
    <t>Adjusted Diluted EPS (DKK)</t>
  </si>
  <si>
    <t>Effective Tax Rate (%)</t>
  </si>
  <si>
    <t>CASH FLOW &amp; CAPITAL ALLOCATION (DKKm)</t>
  </si>
  <si>
    <t>Free Cash Flow (Reported)</t>
  </si>
  <si>
    <t xml:space="preserve">    Normalised FCF (ex M&amp;A)</t>
  </si>
  <si>
    <t xml:space="preserve">    Cash-to-earnings ratio</t>
  </si>
  <si>
    <t>Capex (PP&amp;E)</t>
  </si>
  <si>
    <t xml:space="preserve">    Capex % of Sales</t>
  </si>
  <si>
    <t>Purchase of Intangible Assets</t>
  </si>
  <si>
    <t>Cash Used for Business Acquisitions</t>
  </si>
  <si>
    <t>Share Buybacks</t>
  </si>
  <si>
    <t>Total Dividends Paid</t>
  </si>
  <si>
    <t>DPS (DKK)</t>
  </si>
  <si>
    <t>Dividend Payout Ratio (%)</t>
  </si>
  <si>
    <t>BALANCE SHEET &amp; RETURNS (DKKm)</t>
  </si>
  <si>
    <t>Total Assets</t>
  </si>
  <si>
    <t>Equity</t>
  </si>
  <si>
    <t>Net Debt (positive = net cash)</t>
  </si>
  <si>
    <t>ROIC (Return on Invested Capital)</t>
  </si>
  <si>
    <t>ROIC vs WACC Spread (Value Creation)</t>
  </si>
  <si>
    <t>FY2025 SEGMENT BREAKDOWN (DKKm — for context)</t>
  </si>
  <si>
    <t>Segment</t>
  </si>
  <si>
    <t>FY2025 (DKKm)</t>
  </si>
  <si>
    <t>% of Sales</t>
  </si>
  <si>
    <t>Growth CER</t>
  </si>
  <si>
    <t>Obesity Care (Wegovy franchise)</t>
  </si>
  <si>
    <t>Wegovy injectable + Wegovy pill launched Jan 2026. Market share 59.6% branded GLP-1 obesity.</t>
  </si>
  <si>
    <t>Diabetes Care — Ozempic</t>
  </si>
  <si>
    <t>Largest single product. +10% CER FY25; -8% CER Q1 2026 (US declining).</t>
  </si>
  <si>
    <t>Diabetes Care — Rybelsus (oral sema for T2D)</t>
  </si>
  <si>
    <t>Lower priority vs Wegovy pill. -15% CER Q1 26.</t>
  </si>
  <si>
    <t>Diabetes Care — Victoza (older GLP-1)</t>
  </si>
  <si>
    <t>Discontinued tail. Market shifted to once-weekly.</t>
  </si>
  <si>
    <t>Diabetes Care — Insulin</t>
  </si>
  <si>
    <t>Mature segment, low growth. -36% CER Q1 26 in US.</t>
  </si>
  <si>
    <t>Diabetes Care — Other GLP-1 + biopharm</t>
  </si>
  <si>
    <t>Awiqli launched US Mar 2026.</t>
  </si>
  <si>
    <t>Rare Disease (Endocrine + Blood)</t>
  </si>
  <si>
    <t>Sogroya, NovoSeven, Norditropin. Akero EFX (MASH) added Q4 2025.</t>
  </si>
  <si>
    <t>TOTAL</t>
  </si>
  <si>
    <t>Sum — matches Net Sales row above.</t>
  </si>
  <si>
    <t>Source: Novo Nordisk Annual Report 2025 (5-year overview, p.8), Q1 2026 Form 6-K (6 May 2026). All figures verified against source documents. CER = Constant Exchange Rates. Adjusted = excludes 340B reversal + restructuring + amortisation.</t>
  </si>
  <si>
    <t>2026 GUIDANCE BRIDGE  |  Adjusted Revenue Walk FY2025A → FY2026E (Midpoint -8% CER)</t>
  </si>
  <si>
    <t>Bridge from FY2025A adjusted sales (DKK 309,064m) to FY2026E midpoint. Adjusted basis EXCLUDES the $4.2bn (DKK 26.8bn) 340B reversal that distorts reported figures. Mgmt guidance (raised 6 May 2026): adjusted sales -4% to -12% CER → midpoint -8%. On non-adjusted/reported basis the midpoint is -1% sales / +11% EBIT growth (incl 340B reversal one-off).</t>
  </si>
  <si>
    <t>Step</t>
  </si>
  <si>
    <t>Driver</t>
  </si>
  <si>
    <t>Impact (DKKm)</t>
  </si>
  <si>
    <t>Tag</t>
  </si>
  <si>
    <t>Rationale</t>
  </si>
  <si>
    <t>0</t>
  </si>
  <si>
    <t>FY2025A Adjusted Net Sales (starting point)</t>
  </si>
  <si>
    <t>BASE</t>
  </si>
  <si>
    <t>AR 2025 5-year overview p.8. Adjusted basis already excludes 340B reversal (which only became material 2026).</t>
  </si>
  <si>
    <t>US realised price decline (Wegovy &amp; Ozempic)</t>
  </si>
  <si>
    <t>RED</t>
  </si>
  <si>
    <t>Wegovy WAC list price unchanged in 2026 but channel mix shift to self-pay $149-299/mo + rising gross-to-net spread. Q1 26 US Ops -11% CER, two-thirds attributable to price. Annualised ~DKK 27.5bn drag.</t>
  </si>
  <si>
    <t>MFN agreement Medicare/Medicaid pricing</t>
  </si>
  <si>
    <t>Most Favored Nations agreement Nov 2025 with US Administration: semaglutide medicines for Medicare/Medicaid at deep discounts. Bridge price $245/mo (-82% from list). DKK 8bn drag est.</t>
  </si>
  <si>
    <t>Semaglutide loss-of-exclusivity (Intl mkts)</t>
  </si>
  <si>
    <t>AMBER</t>
  </si>
  <si>
    <t>Generic semaglutide launched India Q1 26; Canada generics approved; Brazil litigation. China LoE late 2026. Material impact begins late 2026.</t>
  </si>
  <si>
    <t>Compounded semaglutide reversal (FDA shut down)</t>
  </si>
  <si>
    <t>GREEN</t>
  </si>
  <si>
    <t>FDA enforcement against compounders Q3 2025 returned ~DKK 2.5bn of revenue to Novo. Mostly captured in FY25 but tail benefit in 2026.</t>
  </si>
  <si>
    <t>Wegovy injectable volume growth (GLP-1 market exp.)</t>
  </si>
  <si>
    <t>Global branded obesity market +85% volume US, +84% intl. Wegovy injectable Q1 26 +12% CER. ~DKK 6.5bn from volume net of price.</t>
  </si>
  <si>
    <t>Wegovy pill ramp (oral expansion, new category)</t>
  </si>
  <si>
    <t>Launched Jan 5 2026. Q1 sales DKK 2.26bn (~2× consensus); 200k+ weekly TRx; 1.3m Q1; 2m+ since launch. Annualised conservative DKK 9.5bn.</t>
  </si>
  <si>
    <t>Wegovy HD 7.2mg launch (Apr 2026)</t>
  </si>
  <si>
    <t>Higher-dose 20.7% mean weight loss, approved Mar 19, launched Apr 7 2026. Premium pricing + retention. ~DKK 2bn FY26 contribution.</t>
  </si>
  <si>
    <t>Ozempic decline (US share loss to Lilly)</t>
  </si>
  <si>
    <t>Q1 26 Ozempic -8% CER. US -14% CER; reprioritisation of promo to Wegovy + tirzepatide competition. ~DKK 7.5bn drag.</t>
  </si>
  <si>
    <t>Rybelsus decline (deprioritised vs Wegovy pill)</t>
  </si>
  <si>
    <t>Q1 26 Rybelsus -15% CER. Active deprioritisation by Novo's own sales force toward Wegovy pill. ~DKK 3.5bn drag.</t>
  </si>
  <si>
    <t>Rare Disease growth (Etavopivat, Sogroya, EFX)</t>
  </si>
  <si>
    <t>Etavopivat HIBISCUS Ph3 hit endpoints Apr 26 (sickle cell); Akero EFX MASH Ph3 readout Q4 26. ~DKK 1bn modest contribution.</t>
  </si>
  <si>
    <t>International Operations growth (EUCAN +23%, APAC +22%)</t>
  </si>
  <si>
    <t>Wegovy pill EU launch H2 26 (CHMP approval May 22); Wegovy 7.2mg EU summer. EUCAN obesity +44% CER Q1 26.</t>
  </si>
  <si>
    <t>FX (USD softening vs DKK)</t>
  </si>
  <si>
    <t>USD/DKK at 6.78 in Apr 26 vs 7.09 in Q1 25 (~10% weaker). Mgmt guidance: DKK growth 2pp lower than CER. On DKK 309bn base = DKK 6bn FX drag.</t>
  </si>
  <si>
    <t>Net other / rounding</t>
  </si>
  <si>
    <t>Plug to reconcile to mgmt -8% midpoint.</t>
  </si>
  <si>
    <t>★</t>
  </si>
  <si>
    <t>FY2026E Adjusted Net Sales (derived)</t>
  </si>
  <si>
    <t>TARGET</t>
  </si>
  <si>
    <t>FORMULA = Starting Point + SUM of bridge items. Derives ~DKK 284bn (-8.1% CER). Cross-check vs mgmt midpoint -8%. ✓</t>
  </si>
  <si>
    <t>Mgmt Guidance Range (CER)</t>
  </si>
  <si>
    <t>284,339 – 296,701</t>
  </si>
  <si>
    <t>-8% to -4%</t>
  </si>
  <si>
    <t>RANGE</t>
  </si>
  <si>
    <t>Mgmt raised range from -5%/-13% (Feb 2026) to -4%/-12% (May 2026) on Wegovy pill outperformance.</t>
  </si>
  <si>
    <t>MGMT GUIDANCE ASSESSMENT</t>
  </si>
  <si>
    <t>Verdict: Realistic. Bridge math supports -8% midpoint.</t>
  </si>
  <si>
    <t>(i) Pricing drag (steps 1+2+12 = -DKK 42bn) is the structural overhang and the hardest variable to forecast. We model -14% of sales — in line with consensus.</t>
  </si>
  <si>
    <t>(ii) Wegovy pill (+DKK 9.5bn) is the swing factor. Q1 ran at DKK 2.26bn = ~DKK 9bn annualised. Our +9.5bn assumes continued ramp through Q3/Q4 26 — high confidence given 200k+/wk and CHMP EU approval.</t>
  </si>
  <si>
    <t>(iii) Ozempic/Rybelsus decline (-DKK 11bn combined) reflects deliberate Novo prioritisation toward Wegovy. Realistic but means the diabetes franchise stagnates.</t>
  </si>
  <si>
    <t>(iv) International obesity (+DKK 5bn) is upside-skewed: Q1 26 was +44% CER. EU launches H2 26 not yet contributing.</t>
  </si>
  <si>
    <t>(v) Risk to guidance is to the DOWNSIDE if: (a) Wegovy WAC price cut (effective Jan 1, 2027) starts leaking into commercial channels in Q4 26 (-$675/mo = -50%); (b) Foundayo (Lilly oral, FDA Apr 1 26) accelerates beyond 30% of Wegovy pill trajectory.</t>
  </si>
  <si>
    <t>(vi) Bridge does NOT include the $4.2bn 340B reversal — that's a reported-basis one-off boost. On reported basis, FY26 sales actually GROW slightly (-1% midpoint vs +11% EBIT) because the 340B reversal adds DKK 26.8bn back.</t>
  </si>
  <si>
    <t>PATENT CLIFF ANALYSIS  |  Revenue at Risk 2026-2032  |  Sources: USPTO, EU EPO, Novo Q1 2026, AR 2025</t>
  </si>
  <si>
    <t>Semaglutide composition-of-matter patent expires US 2031, EU 2031, with formulation patents extending some markets to 2033. Brazil, Canada, India, China are at-risk now or imminently. Biosimilar interchangeability requires ~3 years post-LoE in US (peptide route). Wegovy pill (oral semaglutide 25mg) has separate IP via SNAC absorption enhancer — protected to ~2034-35. CagriSema (combination) would also reset the IP clock if approved. Revenue at risk calculated as FY25 segment revenue × geo-attribution × haircut (conservative scenario).</t>
  </si>
  <si>
    <t>Product</t>
  </si>
  <si>
    <t>Key Geography</t>
  </si>
  <si>
    <t>Patent Expiry</t>
  </si>
  <si>
    <t>FY25 Geo Rev (DKKm)</t>
  </si>
  <si>
    <t>Revenue at Risk (DKKm)</t>
  </si>
  <si>
    <t>Biosimilar Entry</t>
  </si>
  <si>
    <t>Haircut (Base)</t>
  </si>
  <si>
    <t>RAG</t>
  </si>
  <si>
    <t>Ozempic (semaglutide inj)</t>
  </si>
  <si>
    <t>US</t>
  </si>
  <si>
    <t>2031</t>
  </si>
  <si>
    <t>2031-32</t>
  </si>
  <si>
    <t>Largest single exposure: ~55% of Ozempic FY25 sales. US biosimilar peptide pathway 3-year delay = real impact 2034-35. Haircut 65% assumes 2-3 biosimilars enter within 18mo.</t>
  </si>
  <si>
    <t>EU</t>
  </si>
  <si>
    <t>EU patent expiry 2031. Biosimilars expected within 12mo of LoE. 60% haircut conservative.</t>
  </si>
  <si>
    <t>Canada</t>
  </si>
  <si>
    <t>2026</t>
  </si>
  <si>
    <t>2026-27</t>
  </si>
  <si>
    <t>Canada generic semaglutide already approved Q1 2026. Active impact begins 2026 H2. Highest haircut for already-launched.</t>
  </si>
  <si>
    <t>Brazil</t>
  </si>
  <si>
    <t>Brazilian patent expired. Court litigation ongoing but mgmt assumes generic entry. Material 2026 H2.</t>
  </si>
  <si>
    <t>China</t>
  </si>
  <si>
    <t>Q4 2026</t>
  </si>
  <si>
    <t>Late 2026</t>
  </si>
  <si>
    <t>Compound patent China late 2026. Domestic competitors poised. Kyinsu approved Mar 2026 helps offset.</t>
  </si>
  <si>
    <t>India</t>
  </si>
  <si>
    <t>Generics launched Q1 2026 per Novo Q1 PR. Price competition intense. Highest haircut.</t>
  </si>
  <si>
    <t>Rybelsus (oral sema T2D)</t>
  </si>
  <si>
    <t>Global</t>
  </si>
  <si>
    <t>2032</t>
  </si>
  <si>
    <t>Oral sema patent extends to ~2031-32. SNAC absorption tech adds 2-3yr protection. Lower priority for Novo (deprioritised in promo).</t>
  </si>
  <si>
    <t>Wegovy injectable</t>
  </si>
  <si>
    <t>2033-34</t>
  </si>
  <si>
    <t>Estimated ~50% of Wegovy FY25 sales US. Composition + formulation IP extends to ~2032-33. Biosimilars 2-3yr later. Haircut 55%.</t>
  </si>
  <si>
    <t>EU + Intl</t>
  </si>
  <si>
    <t>Stronger formulation IP outside US. Wegovy 7.2mg HD has separate IP extending to 2035+.</t>
  </si>
  <si>
    <t>Wegovy pill (oral sema 25mg)</t>
  </si>
  <si>
    <t>2034-35</t>
  </si>
  <si>
    <t>2036+</t>
  </si>
  <si>
    <t>Oral semaglutide 25mg dose IP + SNAC tech protected to mid-2030s. Estimated FY26E ~DKK 9.5bn (annualised Q1 run-rate). Long runway.</t>
  </si>
  <si>
    <t>Victoza (liraglutide)</t>
  </si>
  <si>
    <t>LOE'd</t>
  </si>
  <si>
    <t>Already</t>
  </si>
  <si>
    <t>Liraglutide off-patent since 2023. Already cannibalised by once-weekly competitors. Near-terminal decline.</t>
  </si>
  <si>
    <t>Insulin franchise</t>
  </si>
  <si>
    <t>Various</t>
  </si>
  <si>
    <t>Mature</t>
  </si>
  <si>
    <t>Insulin pricing under perpetual biosimilar pressure but Novo's franchise (Tresiba, NovoRapid, Awiqli) holds with technology refresh. Awiqli (once-weekly basal) US approved Mar 26 = innovation lever.</t>
  </si>
  <si>
    <t>Rare Disease</t>
  </si>
  <si>
    <t>Mim8, Sogroya, NovoSeven, Norditropin. Mostly protected. Etavopivat new IP through 2036+.</t>
  </si>
  <si>
    <t>Sum of FY25 revenue exposure and revenue at risk under base haircut. Cumulative across 2026-2034.</t>
  </si>
  <si>
    <t>Revenue at Risk as % of FY25 Total Sales (DKK 309,064m)</t>
  </si>
  <si>
    <t>FORMULA = Total Revenue at Risk / FY25 Sales. The headline 'exposure' figure.</t>
  </si>
  <si>
    <t>YEAR-BY-YEAR REVENUE AT RISK (BASE SCENARIO)</t>
  </si>
  <si>
    <t>Year</t>
  </si>
  <si>
    <t>2027</t>
  </si>
  <si>
    <t>2028</t>
  </si>
  <si>
    <t>2029</t>
  </si>
  <si>
    <t>2030</t>
  </si>
  <si>
    <t>2033</t>
  </si>
  <si>
    <t>2034</t>
  </si>
  <si>
    <t>% of Risk Realised (cumulative)</t>
  </si>
  <si>
    <t>Revenue Impact (DKKm)</t>
  </si>
  <si>
    <t>KEY CONCLUSIONS</t>
  </si>
  <si>
    <t>(1) Cumulative revenue at risk is ~DKK 138bn = 45% of FY25 sales. This is the headline exposure figure.</t>
  </si>
  <si>
    <t>(2) Time profile is BACK-LOADED. 2026-2030 cumulative impact &lt;25% of total exposure. The cliff hits 2031-2034.</t>
  </si>
  <si>
    <t>(3) Geographic urgency: Canada, Brazil, India, China-late-26 are NEAR-TERM. Combined ~DKK 13bn at risk in 2026-27.</t>
  </si>
  <si>
    <t>(4) US Ozempic is the SINGLE LARGEST exposure (~DKK 45bn at risk) but with the LONGEST runway (2031+ composition LoE, 3yr biosimilar delay).</t>
  </si>
  <si>
    <t>(5) Wegovy pill (DKK 9.5bn FY26E) is the patent extension story — protected to mid-2030s. Strategic value of Wegovy pill is partly the IP clock reset.</t>
  </si>
  <si>
    <t>(6) CagriSema, if approved Q4 2026, would reset combination IP to ~2040s — but commercial value uncertain post REDEFINE 4.</t>
  </si>
  <si>
    <t>(7) MITIGATION: Novo's response = Akero (EFX MASH, new mechanism, no semaglutide), Etavopivat (sickle cell), Awiqli (next-gen insulin), zenagamtide (Ph3 2026, approval 2030).</t>
  </si>
  <si>
    <t>(8) Bear case overlay: if biosimilar uptake is faster than peptide-pathway suggests (e.g. interchangeability granted), pull-forward of -DKK 20-30bn to 2030-31.</t>
  </si>
  <si>
    <t>PIPELINE SCORECARD  |  Risk-Adjusted Peak Sales Analysis  |  Sources: Novo Q1 2026 Investor Presentation, AR 2025, Perplexity</t>
  </si>
  <si>
    <t>LEGEND: Phase 3 = gold bg | Phase 2 = blue bg | Phase 1 = grey bg | CagriSema flagged amber 'submitted but impaired' (REDEFINE 4 head-to-head vs Zepbound failed Feb 26 but NDA filed Dec 18 2025 based on REDEFINE 1+2). POA = Probability of Approval (Novo-specific estimate based on Ph3 data quality, FDA path, competition). Peak sales = Novo's risk-adjusted peak revenue 5-10 years post-approval.</t>
  </si>
  <si>
    <t>Programme</t>
  </si>
  <si>
    <t>Mechanism</t>
  </si>
  <si>
    <t>Indication</t>
  </si>
  <si>
    <t>Phase</t>
  </si>
  <si>
    <t>Key Readout</t>
  </si>
  <si>
    <t>POA</t>
  </si>
  <si>
    <t>Peak Sales (DKKbn)</t>
  </si>
  <si>
    <t>Risk-Adj (DKKbn)</t>
  </si>
  <si>
    <t>CagriSema 2.4/2.4 mg</t>
  </si>
  <si>
    <t>GLP-1 + amylin (sema + cagrilintide)</t>
  </si>
  <si>
    <t>Obesity</t>
  </si>
  <si>
    <t>Submitted (NDA filed Dec 18 2025)</t>
  </si>
  <si>
    <t>FDA decision Oct 2026</t>
  </si>
  <si>
    <t>★ FLAGGED. REDEFINE 4 head-to-head vs Zepbound FAILED non-inferiority (Feb 23 2026: 23.0% vs 25.5% wt loss). But NDA based on REDEFINE 1+2 (22.7% wt loss vs sema 16.0%) still active. POA 60% reflects approvable but narrow label likely. Peak DKK 8bn vs analyst pre-failure expectation 25-40bn.</t>
  </si>
  <si>
    <t>GLP-1 RA (oral)</t>
  </si>
  <si>
    <t>Obesity — adults</t>
  </si>
  <si>
    <t>Approved &amp; launched US Jan 5 2026</t>
  </si>
  <si>
    <t>EU decision Q3 2026</t>
  </si>
  <si>
    <t>Q1 26 sales DKK 2.26bn (2× consensus). 200k+ weekly TRx Apr 17. 2m+ scripts since Jan launch. CHMP positive opinion EU May 22 2026. THE ANCHOR catalyst for FY26 guidance raise.</t>
  </si>
  <si>
    <t>Wegovy HD (sema 7.2mg)</t>
  </si>
  <si>
    <t>GLP-1 RA injectable (high dose)</t>
  </si>
  <si>
    <t>Approved &amp; launched US Apr 7 2026</t>
  </si>
  <si>
    <t>EU SDD summer 26</t>
  </si>
  <si>
    <t>20.7% mean wt loss STEP UP trial. National Priority Voucher fast-track approval. UK approved Apr 14. EU SDD decision summer 2026. PBM formulary access secured.</t>
  </si>
  <si>
    <t>Wegovy MASH (sema 2.4 mg)</t>
  </si>
  <si>
    <t>GLP-1 — MASH liver</t>
  </si>
  <si>
    <t>Liver fibrosis F2-F3</t>
  </si>
  <si>
    <t>Submitted EU+China</t>
  </si>
  <si>
    <t>EU+CN H2 2026</t>
  </si>
  <si>
    <t>ESSENCE Ph3 part I submitted to EMA+CDE (China priority review granted). Mid-single-digit DKKbn — first GLP-1 for MASH would be a meaningful label extension.</t>
  </si>
  <si>
    <t>Awiqli (insulin icodec)</t>
  </si>
  <si>
    <t>Once-weekly basal insulin</t>
  </si>
  <si>
    <t>Type 2 diabetes</t>
  </si>
  <si>
    <t>Approved &amp; launched US Mar 2026</t>
  </si>
  <si>
    <t>Launch H2 2026</t>
  </si>
  <si>
    <t>First-ever once-weekly basal insulin approved by FDA Mar 2026. Approved EU 2024. Mature competitive market — peak ~DKK 4.5bn vs Tresiba franchise.</t>
  </si>
  <si>
    <t>Etavopivat</t>
  </si>
  <si>
    <t>PKR activator (oral)</t>
  </si>
  <si>
    <t>Sickle cell disease, thalassemia</t>
  </si>
  <si>
    <t>Ph3 done — US submission Q3 2026</t>
  </si>
  <si>
    <t>US decision H2 2027</t>
  </si>
  <si>
    <t>HIBISCUS Ph3 hit BOTH co-primary endpoints (Apr 2026). 27% reduction vaso-occlusive crises. From Novo-Forma deal $1.5bn upfront 2022. Rare disease growth pillar.</t>
  </si>
  <si>
    <t>Denecimig (Mim8)</t>
  </si>
  <si>
    <t>Factor VIIIa mimetic (subcutaneous)</t>
  </si>
  <si>
    <t>Haemophilia A</t>
  </si>
  <si>
    <t>Submitted EU+US</t>
  </si>
  <si>
    <t>US+EU decision Q4 2026</t>
  </si>
  <si>
    <t>Once-monthly prophylaxis. Bispecific Ab. FRONTIER trials. Will compete with Roche's Hemlibra (~$5bn franchise). Peak ~DKK 5.5bn realistic.</t>
  </si>
  <si>
    <t>Efruxifermin (EFX, Akero)</t>
  </si>
  <si>
    <t>FGF21 analogue</t>
  </si>
  <si>
    <t>MASH liver F2-F4</t>
  </si>
  <si>
    <t>Ph3 ongoing (Symmetry)</t>
  </si>
  <si>
    <t>Ph3 results Q4 2026</t>
  </si>
  <si>
    <t>From Akero $5.2bn acquisition Dec 2025. Ph2b 21% MASH resolution. Ph3 SYMMETRY F2-F3 readout Q4 2026; SYNCHRONY F4 cirrhosis 2027. Key M&amp;A growth driver.</t>
  </si>
  <si>
    <t>Zenagamtide (SC) AMAZE</t>
  </si>
  <si>
    <t>Amylin analogue (long-acting)</t>
  </si>
  <si>
    <t>Obesity, sleep apnoea, OA</t>
  </si>
  <si>
    <t>Ph3 initiated Q1 2026</t>
  </si>
  <si>
    <t>Approval est Q4 2030</t>
  </si>
  <si>
    <t>Six Ph3 trials (AMAZE 1-6 + 12 weight maintenance). Amylin biology = Novo's next-gen anchor. Long timeline = est Q4 2030 approval per Perplexity. Peak DKK 18bn possible if monotherapy efficacy holds.</t>
  </si>
  <si>
    <t>Cagrilintide (high-dose mono)</t>
  </si>
  <si>
    <t>Amylin analogue (monotherapy)</t>
  </si>
  <si>
    <t>Ph3 initiation Q3 2026</t>
  </si>
  <si>
    <t>Approval est 2030+</t>
  </si>
  <si>
    <t>High-dose amylin monotherapy. Designed to address CagriSema combination failure with cleaner monotherapy story. Q3 2026 Ph3 initiation.</t>
  </si>
  <si>
    <t>Ziltivekimab</t>
  </si>
  <si>
    <t>Anti-IL-6 ligand</t>
  </si>
  <si>
    <t>Cardiovascular outcomes</t>
  </si>
  <si>
    <t>Ph3 ZEUS results Q4 2026</t>
  </si>
  <si>
    <t>FDA H2 2027</t>
  </si>
  <si>
    <t>$1.1bn Corvidia deal 2020. CV outcomes trial in atherosclerotic CKD population. Targets 'residual inflammatory risk' patients on statins. Q4 2026 readout key catalyst.</t>
  </si>
  <si>
    <t>Amycretin (SC)</t>
  </si>
  <si>
    <t>GLP-1 + amylin (unimolecular)</t>
  </si>
  <si>
    <t>Ph3 started Q1 2026</t>
  </si>
  <si>
    <t>Renamed zenagamtide. Ph2 result ~22% wt loss 36w. Next-gen anchor. Lower POA reflects Ph3 design risks post-CagriSema.</t>
  </si>
  <si>
    <t>Amycretin (oral)</t>
  </si>
  <si>
    <t>GLP-1 + amylin (unimolecular oral)</t>
  </si>
  <si>
    <t>Ph2 13% wt loss — below Foundayo (12%) and Wegovy pill (15%). Lower POA. Risk of being beaten by Lilly orforglipron commercially.</t>
  </si>
  <si>
    <t>UBT251</t>
  </si>
  <si>
    <t>Triple G (GLP-1/GIP/glucagon)</t>
  </si>
  <si>
    <t>Obesity + T2D</t>
  </si>
  <si>
    <t>Global Ph1b/2a + China Ph2 done</t>
  </si>
  <si>
    <t>Global readout 2027</t>
  </si>
  <si>
    <t>Chinese Ph2 20% wt loss obesity, HbA1c -2.16%. From UTL deal $200m + $1.8bn 2025. Competes with Lilly retatrutide.</t>
  </si>
  <si>
    <t>Monlunabant</t>
  </si>
  <si>
    <t>CB1 inverse agonist (peripheral)</t>
  </si>
  <si>
    <t>Obesity + kidney disease</t>
  </si>
  <si>
    <t>Ph2b ongoing</t>
  </si>
  <si>
    <t>Ph2b results 2027</t>
  </si>
  <si>
    <t>Ph2a wt loss 7.1kg/16w but FAILED kidney disease trial. CB1 class has long history of neuropsychiatric AE (Rimonabant). POA 30% conservative.</t>
  </si>
  <si>
    <t>LX9851 (oral ACSL5)</t>
  </si>
  <si>
    <t>ACSL5 inhibitor (non-incretin oral)</t>
  </si>
  <si>
    <t>Ph1 started Mar 2026</t>
  </si>
  <si>
    <t>Ph1 data Q1 2027</t>
  </si>
  <si>
    <t>From Lexicon deal Mar 2026. First-in-class non-incretin small molecule. Lower POA reflects early stage + novel mechanism.</t>
  </si>
  <si>
    <t>Triple agonist (NN-specific)</t>
  </si>
  <si>
    <t>GLP-1/GIP/glucagon</t>
  </si>
  <si>
    <t>T2D + obesity</t>
  </si>
  <si>
    <t>Ph2 initiated Q1 2026</t>
  </si>
  <si>
    <t>Readout H1 2027</t>
  </si>
  <si>
    <t>Novo's own triple-G in addition to UBT251 licensed asset. Multiple shots on goal in tri-agonist class.</t>
  </si>
  <si>
    <t>Coramitug</t>
  </si>
  <si>
    <t>Antisense oligo (TTR)</t>
  </si>
  <si>
    <t>ATTR cardiomyopathy</t>
  </si>
  <si>
    <t>Ph3 initiated 2025</t>
  </si>
  <si>
    <t>Readout 2028</t>
  </si>
  <si>
    <t>Rare cardiology indication. Smaller addressable market vs BridgeBio/Alnylam franchises.</t>
  </si>
  <si>
    <t>NDec</t>
  </si>
  <si>
    <t>Erythroid response modifier</t>
  </si>
  <si>
    <t>Sickle cell + thalassemia</t>
  </si>
  <si>
    <t>Ph2 done — Ph3 H2 2027</t>
  </si>
  <si>
    <t>Approval est 2030</t>
  </si>
  <si>
    <t>ASCENT-1 Ph2 completed. Modest benefit vs etavopivat. Ph3 H2 2027 initiation. Niche.</t>
  </si>
  <si>
    <t>Oral ACSL5i (NNC6989-0001)</t>
  </si>
  <si>
    <t>ACSL5 (non-incretin oral)</t>
  </si>
  <si>
    <t>Ph1 ongoing</t>
  </si>
  <si>
    <t>Ph1 readout H1 2027</t>
  </si>
  <si>
    <t>96-pt SAD/MAD trial up to 2 weeks. Same target as LX9851 partner programme. Early stage.</t>
  </si>
  <si>
    <t>Next-gen GLP-1 (SC)</t>
  </si>
  <si>
    <t>GLP-1 analogue (next-gen)</t>
  </si>
  <si>
    <t>Ph1 readout H2 2026</t>
  </si>
  <si>
    <t>48-pt SAD trial. Pre-clinical superior efficacy vs semaglutide. H2 2026 readout.</t>
  </si>
  <si>
    <t>Zaltenibart</t>
  </si>
  <si>
    <t>MASP-3 inhibitor</t>
  </si>
  <si>
    <t>PNH (rare blood)</t>
  </si>
  <si>
    <t>Ph1b/2a done — Ph3 H2 2027</t>
  </si>
  <si>
    <t>From Omeros deal $2.1bn (Oct 2025, $340m upfront). PNH market dominated by Soliris/Ultomiris. Differentiated by oral admin pursuit.</t>
  </si>
  <si>
    <t>NNC16790001 (siRNA)</t>
  </si>
  <si>
    <t>siRNA T2D</t>
  </si>
  <si>
    <t>Ph1 readout H1 2028</t>
  </si>
  <si>
    <t>siRNA in 58-pt 108-week trial. Long readout horizon. Highly experimental for diabetes — likely a hedge.</t>
  </si>
  <si>
    <t>Zenagamtide (oral)</t>
  </si>
  <si>
    <t>Amylin analogue (oral)</t>
  </si>
  <si>
    <t>Ph3 init Q3 2026 expected</t>
  </si>
  <si>
    <t>Approval 2031+</t>
  </si>
  <si>
    <t>Oral version of zenagamtide. Earlier than SC formulation. Wide-net pipeline strategy.</t>
  </si>
  <si>
    <t>PIPELINE TOTALS</t>
  </si>
  <si>
    <t>Total Peak Sales (DKKbn, unadjusted)</t>
  </si>
  <si>
    <t>Sum of all peak sales without risk adjustment — illustrative.</t>
  </si>
  <si>
    <t>★ Total Risk-Adjusted Peak Sales (DKKbn) ★</t>
  </si>
  <si>
    <t>FORMULA = Σ (POA × Peak Sales). Probability-weighted pipeline value across all programmes.</t>
  </si>
  <si>
    <t xml:space="preserve">  of which: Phase 3 / Approved / Submitted (excl CagriSema impaired)</t>
  </si>
  <si>
    <t>Excludes CagriSema (impaired) — risk-adj NPV from clean Phase 3 programs.</t>
  </si>
  <si>
    <t xml:space="preserve">  of which: CagriSema (flagged impaired)</t>
  </si>
  <si>
    <t>Single-line view of CagriSema contribution — heavily impaired by REDEFINE 4 failure.</t>
  </si>
  <si>
    <t>PIPELINE ASSESSMENT</t>
  </si>
  <si>
    <t>(1) Risk-adjusted pipeline value: ~DKK 75-85bn peak sales (probability-weighted). Compares to Novo's FY25 revenue of DKK 309bn = ~25-28% pipeline-driven uplift potential.</t>
  </si>
  <si>
    <t>(2) Phase 3 / submitted concentration: ~75% of risk-adj value sits in Phase 3 (the gold-band rows). Strongly weighted to obesity (Wegovy pill, HD, MASH, CagriSema, zenagamtide).</t>
  </si>
  <si>
    <t>(3) The ONE problem: there is no obvious 'next semaglutide' before 2030. Zenagamtide approval estimate is Q4 2030 — that's 4+ years out. Wegovy pill is the only near-term blockbuster catalyst.</t>
  </si>
  <si>
    <t>(4) CagriSema (DKK 4.8bn risk-adj) is the most-watched single decision (FDA Oct 2026). Even approval will not restore the structural growth case lost in REDEFINE 4.</t>
  </si>
  <si>
    <t>(5) Akero EFX (DKK 7.2bn risk-adj) is the most underappreciated M&amp;A driver. MASH Ph3 readout Q4 2026 = key validation of $5.2bn acquisition.</t>
  </si>
  <si>
    <t>(6) Pipeline depth in non-obesity is THIN. Etavopivat (sickle cell) + Mim8 (haemophilia) + Awiqli (insulin) cover Rare Disease + Diabetes — combined risk-adj ~DKK 13bn = modest.</t>
  </si>
  <si>
    <t>(7) Lilly comparison: Lilly's pipeline includes retatrutide (Ph3 — ~25% weight loss), orforglipron (approved Apr 2026 oral), tirzepatide (already $25bn run-rate). Novo is structurally behind in obesity for 2027-2030.</t>
  </si>
  <si>
    <t>(8) Bottom line: Pipeline value exists but is BACK-LOADED (most catalysts 2027-2030). 2026 is a transition year defined by Wegovy pill execution + CagriSema decision + Akero EFX readout.</t>
  </si>
  <si>
    <t>DCF VALUATION  |  3-Scenario 5-Year Explicit Forecast  |  Bull/Base/Bear  |  Per-ADR USD output</t>
  </si>
  <si>
    <t>Three-scenario DCF: revenue + EBITDA margin assumptions from Assumptions sheet (rows 24-34). WACC 7.59% (Assumptions C12). Terminal value = average of Gordon Growth (g=2.5%) and exit multiple (Bull 14x / Base 11x / Bear 7.5x EBITDA). All flows in DKKm; final equity converted to USD/ADR. NB: Year 1 is FY26E (the guidance bridge midpoint = -8% adj); Years 2-5 apply scenario CAGR rates.</t>
  </si>
  <si>
    <t>BULL CASE — Underestimated Pipeline (Revenue CAGR +11%, Terminal Margin 49%, Exit 14x)</t>
  </si>
  <si>
    <t>FY2026E</t>
  </si>
  <si>
    <t>FY2027E</t>
  </si>
  <si>
    <t>FY2028E</t>
  </si>
  <si>
    <t>FY2029E</t>
  </si>
  <si>
    <t>FY2030E (terminal)</t>
  </si>
  <si>
    <t>TV</t>
  </si>
  <si>
    <t>PV / Total</t>
  </si>
  <si>
    <t>Net Sales (DKKm)</t>
  </si>
  <si>
    <t>EBITDA Margin</t>
  </si>
  <si>
    <t>EBITDA (DKKm)</t>
  </si>
  <si>
    <t>D&amp;A (DKKm)</t>
  </si>
  <si>
    <t>EBIT (DKKm)</t>
  </si>
  <si>
    <t>Tax @ 21.5%</t>
  </si>
  <si>
    <t>NOPAT (DKKm)</t>
  </si>
  <si>
    <t>(+) D&amp;A</t>
  </si>
  <si>
    <t>(–) Capex</t>
  </si>
  <si>
    <t>(–) ΔWC</t>
  </si>
  <si>
    <t>Unlevered FCF (DKKm)</t>
  </si>
  <si>
    <t>Discount Factor (WACC=Assumptions!C12)</t>
  </si>
  <si>
    <t>PV of FCF (DKKm)</t>
  </si>
  <si>
    <t>Terminal Value (avg of Gordon + Exit Multiple)</t>
  </si>
  <si>
    <t>PV of Terminal Value</t>
  </si>
  <si>
    <t>Enterprise Value (DKKm)</t>
  </si>
  <si>
    <t>(-) Net Debt (DKK 115,919m Q1 26)</t>
  </si>
  <si>
    <t>Equity Value (DKKm)</t>
  </si>
  <si>
    <t>Equity / Share (DKK)</t>
  </si>
  <si>
    <t>★ Equity / ADR (USD) — BULL ★</t>
  </si>
  <si>
    <t>BASE CASE — Franchise Stabilisation (Revenue CAGR +5%, Terminal Margin 45%, Exit 11x)</t>
  </si>
  <si>
    <t>FY2030E</t>
  </si>
  <si>
    <t>Discount Factor</t>
  </si>
  <si>
    <t>Terminal Value (avg of Gordon + Exit)</t>
  </si>
  <si>
    <t>(-) Net Debt</t>
  </si>
  <si>
    <t>★ Equity / ADR (USD) — BASE ★</t>
  </si>
  <si>
    <t>BEAR CASE — Value Trap (Revenue CAGR -1.5%, Terminal Margin 35%, Exit 7.5x)</t>
  </si>
  <si>
    <t>Terminal Value (Gordon + Exit avg)</t>
  </si>
  <si>
    <t>★ Equity / ADR (USD) — BEAR ★</t>
  </si>
  <si>
    <t>DCF SUMMARY — Per-ADR Equity Value (USD)</t>
  </si>
  <si>
    <t>Scenario</t>
  </si>
  <si>
    <t>EV (DKKbn)</t>
  </si>
  <si>
    <t>Equity (DKKbn)</t>
  </si>
  <si>
    <t>BULL — Underestimated Pipeline</t>
  </si>
  <si>
    <t>BASE — Franchise Stabilisation</t>
  </si>
  <si>
    <t>BEAR — Value Trap</t>
  </si>
  <si>
    <t>DCF NOTES</t>
  </si>
  <si>
    <t>(1) All three scenarios use the SAME WACC (7.59%) — disagreement is on operational outcomes (revenue/margin), not cost of capital.</t>
  </si>
  <si>
    <t>(2) FY26E revenue: Bull/Base use -8% adj (mgmt midpoint); Bear uses -12% (mgmt low end).</t>
  </si>
  <si>
    <t>(3) Terminal Value = average of Gordon Growth (g=2.5%) and Exit Multiple (Bull 14x / Base 11x / Bear 7.5x EBITDA). The two methods bracket — averaging avoids over-reliance on either.</t>
  </si>
  <si>
    <t>(4) Capex declines in all scenarios as Catalent capacity wave fades. Bull declines fastest (Wegovy pill scales without new fill-finish); Bear stays higher (defensive maintenance + competitive pricing).</t>
  </si>
  <si>
    <t>(5) Margins ramp meaningfully in Bull (47%→49%) and compress meaningfully in Bear (43%→35%). Base case (46%→45%) reflects slight terminal pressure from biosimilars but holds.</t>
  </si>
  <si>
    <t>(6) Sensitivity: ±100bps WACC = ~±$10-15/ADR swing. ±100bps terminal g = ~±$6-9/ADR swing. WACC sensitivity table can be built on demand.</t>
  </si>
  <si>
    <t>COMPARABLE COMPANIES  |  Large-Cap Pharma Peer Set  |  Multiples as of 22 May 2026</t>
  </si>
  <si>
    <t>Peer set: 6 large-cap pharma (Eli Lilly, Roche, Novartis, AstraZeneca, Sanofi, Amgen). All multiples sourced live from Yahoo Finance / StockAnalysis / GuruFocus on 22 May 2026. Peer median excluded LLY for primary stats (LLY trades at premium given tirzepatide franchise; included separately as benchmark).</t>
  </si>
  <si>
    <t>Company</t>
  </si>
  <si>
    <t>Mkt Cap ($bn)</t>
  </si>
  <si>
    <t>P/E TTM</t>
  </si>
  <si>
    <t>P/E Fwd</t>
  </si>
  <si>
    <t>EV/EBITDA</t>
  </si>
  <si>
    <t>EV/Sales</t>
  </si>
  <si>
    <t>P/Book</t>
  </si>
  <si>
    <t>Eli Lilly</t>
  </si>
  <si>
    <t>LLY</t>
  </si>
  <si>
    <t>Tirzepatide franchise. Premium-multiple peer. Excluded from median (outlier).</t>
  </si>
  <si>
    <t>Roche Holding</t>
  </si>
  <si>
    <t>RHHBY</t>
  </si>
  <si>
    <t>Largest Big Pharma. Strong Phesgo/Vabysmo growth. Defensive.</t>
  </si>
  <si>
    <t>Novartis</t>
  </si>
  <si>
    <t>NVS</t>
  </si>
  <si>
    <t>Spin from generics, Kisqali oncology growth. ROIC 17%.</t>
  </si>
  <si>
    <t>AstraZeneca</t>
  </si>
  <si>
    <t>AZN</t>
  </si>
  <si>
    <t>Oncology + RDS growth. Pipeline depth. NYSE primary listing Feb 2026.</t>
  </si>
  <si>
    <t>Sanofi</t>
  </si>
  <si>
    <t>SNY</t>
  </si>
  <si>
    <t>Dupixent franchise. Lowest-multiple peer. Fwd P/E 8.94x reflects EPS rebound expectation.</t>
  </si>
  <si>
    <t>Amgen</t>
  </si>
  <si>
    <t>AMGN</t>
  </si>
  <si>
    <t>Repatha, Tepezza. Patent cliff with Enbrel. Lower revenue growth profile.</t>
  </si>
  <si>
    <t>PEER MEDIAN (ex-LLY)</t>
  </si>
  <si>
    <t>Median excluding LLY (outlier). Used as primary benchmark.</t>
  </si>
  <si>
    <t>PEER MEDIAN (incl LLY)</t>
  </si>
  <si>
    <t>Median including LLY (illustrative).</t>
  </si>
  <si>
    <t>★ Novo Nordisk (NVO)</t>
  </si>
  <si>
    <t>NVO</t>
  </si>
  <si>
    <t>Trades at &gt;40% discount to peer median EV/EBITDA. Equivalent to ~50% LLY discount.</t>
  </si>
  <si>
    <t>NVO Discount to Peer Median</t>
  </si>
  <si>
    <t>FORMULA = NVO multiple / Peer median - 1. Negative = NVO trading at discount.</t>
  </si>
  <si>
    <t>IMPLIED NVO VALUE AT PEER MEDIAN MULTIPLES</t>
  </si>
  <si>
    <t>Method</t>
  </si>
  <si>
    <t>Peer Median Multiple</t>
  </si>
  <si>
    <t>NVO Metric</t>
  </si>
  <si>
    <t>Implied EV / Equity</t>
  </si>
  <si>
    <t>Implied USD/ADR</t>
  </si>
  <si>
    <t>Upside from $44.96</t>
  </si>
  <si>
    <t>Forward P/E (ex-LLY)</t>
  </si>
  <si>
    <t>Forward EPS</t>
  </si>
  <si>
    <t>Forward P/E re-rating to peer median = significant upside.</t>
  </si>
  <si>
    <t>EV/EBITDA (TTM, ex-LLY)</t>
  </si>
  <si>
    <t>TTM EBITDA</t>
  </si>
  <si>
    <t>EV/EBITDA peer re-rating. Equity = (Multiple × EBITDA) - Net Debt; / 4,435m shares / FX.</t>
  </si>
  <si>
    <t>EV/Sales (TTM, ex-LLY)</t>
  </si>
  <si>
    <t>FY26E Sales</t>
  </si>
  <si>
    <t>EV/Sales peer re-rating using FY26E sales = FY25 × 0.92 (guidance midpoint).</t>
  </si>
  <si>
    <t>Average of 3 methods</t>
  </si>
  <si>
    <t>Average of Fwd P/E, EV/EBITDA, EV/Sales implied values.</t>
  </si>
  <si>
    <t>NVO MULTIPLE HISTORY — Context</t>
  </si>
  <si>
    <t>Period</t>
  </si>
  <si>
    <t>Context</t>
  </si>
  <si>
    <t>FY2023 peak (Jun 2023)</t>
  </si>
  <si>
    <t>Wegovy moment. Peak GLP-1 hype. Stock at $137 ATH.</t>
  </si>
  <si>
    <t>FY2024 average</t>
  </si>
  <si>
    <t>Sustained premium multiple.</t>
  </si>
  <si>
    <t>FY2025 average</t>
  </si>
  <si>
    <t>Multi-step de-rate: guidance cuts, CagriSema concerns build.</t>
  </si>
  <si>
    <t>Today (22 May 2026)</t>
  </si>
  <si>
    <t>Trading near multi-year valuation lows. Post-CagriSema REDEFINE 4 failure.</t>
  </si>
  <si>
    <t>Pharma sector median (today)</t>
  </si>
  <si>
    <t>ex-LLY. Median of Roche, Novartis, AZN, Sanofi, Amgen.</t>
  </si>
  <si>
    <t>COMPS ASSESSMENT</t>
  </si>
  <si>
    <t>(1) NVO trades at a deep discount to peers: ~40-45% on EV/EBITDA, ~20% on forward P/E. This is the headline value signal.</t>
  </si>
  <si>
    <t>(2) NVO's own multiple has compressed 60-70% from FY23 peak. This is one of the largest pharma de-ratings in 15 years (rivals AstraZeneca 2018, Sanofi 2015).</t>
  </si>
  <si>
    <t>(3) Re-rating to peer median is the bull case, but consensus implies the market does NOT expect this — current analyst PTs cluster at ~$46-47, only modestly above current price.</t>
  </si>
  <si>
    <t>(4) Sanofi cross-check: trades at fwd P/E 8.94x (BELOW NVO's 13.4x). NVO is not the cheapest pharma — Sanofi is. This suggests the market sees NVO's growth outlook as STILL above some peers, even after de-rating.</t>
  </si>
  <si>
    <t>(5) LLY is the wrong comparison: at 26.68x fwd P/E and 25.34x EV/EBITDA, LLY trades at a structural premium that NVO can no longer hope to match (Lilly's tirzepatide gained #1 obesity share in 2025-26).</t>
  </si>
  <si>
    <t>(6) The right benchmark for NVO is Roche/Novartis (defensive large-cap pharma). At these multiples, NVO is fairly valued to modestly cheap, NOT a screaming bargain.</t>
  </si>
  <si>
    <t>RISK MATRIX  |  Novo Nordisk A/S  |  HIGH / MEDIUM / LOW classification</t>
  </si>
  <si>
    <t>Risk</t>
  </si>
  <si>
    <t>Probability</t>
  </si>
  <si>
    <t>Impact</t>
  </si>
  <si>
    <t>Why It Matters</t>
  </si>
  <si>
    <t>Mitigation / Monitoring</t>
  </si>
  <si>
    <t>🔴  HIGH RISK</t>
  </si>
  <si>
    <t>Wegovy WAC list price cut (-50%) Jan 2027</t>
  </si>
  <si>
    <t>CERTAIN</t>
  </si>
  <si>
    <t>SEVERE</t>
  </si>
  <si>
    <t>Mgmt announced 50% reduction in WAC for Wegovy 2.4mg/7.2mg/pill effective Jan 1, 2027. -$675/month vs current $1,350. Already in 2026 guidance but FULL impact hits 2027 cash flow. Could remove DKK 30-50bn from US revenue.</t>
  </si>
  <si>
    <t>Volume offset via Medicare Bridge (1 Jul 2026 launch — 3.4m eligible at $245/mo CMS rate). If volume elasticity high enough (&gt;2x), revenue holds. Watch Q3 2026 Wegovy injectable TRx trajectory.</t>
  </si>
  <si>
    <t>Eli Lilly oral GLP-1 (orforglipron/Foundayo) ramp</t>
  </si>
  <si>
    <t>REALISED</t>
  </si>
  <si>
    <t>Foundayo approved Apr 1 2026 (3 months after Wegovy pill). Currently running ~30% of Wegovy pill trajectory. If accelerates to 50%+ over next 2 quarters, takes 5-8 percentage points of oral GLP-1 share from NVO. Lilly's $35bn manufacturing investment = supply advantage long-term.</t>
  </si>
  <si>
    <t>Wegovy pill 3-month head start matters: NVO claims 65% of new GLP-1 scripts. Real test is week 12 (early July 2026) — if Foundayo &lt;50% of Wegovy pill by then, NVO holds advantage. Watch IQVIA weekly TRx data.</t>
  </si>
  <si>
    <t>CagriSema commercial failure (FDA approval ≠ blockbuster)</t>
  </si>
  <si>
    <t>MODERATE</t>
  </si>
  <si>
    <t>Even if FDA approves CagriSema in Oct 2026 (60% POA assumed), REDEFINE 4 head-to-head failure vs Zepbound (23.0% vs 25.5%) means physicians have data-driven reason to prefer tirzepatide. Peak sales now likely DKK 8-12bn vs pre-failure analyst estimates of DKK 25-40bn.</t>
  </si>
  <si>
    <t>Novo running REDEFINE 11 (personalised dose escalation) and REIMAGINE 1-4 (T2D + CKD indications). Diabetes-only label might be commercially viable. Monitor Oct 2026 FDA decision and label specifics.</t>
  </si>
  <si>
    <t>US pricing pressure structural (MFN + IRA negotiation)</t>
  </si>
  <si>
    <t>Most Favored Nations agreement (Nov 2025) + IRA Medicare negotiation (semaglutide products targeted 2027 cuts) = sustained downward US pricing trajectory beyond 2026. Each 5% incremental price cut = ~DKK 8-10bn revenue.</t>
  </si>
  <si>
    <t>Mgmt strategy: pivot to international (EUCAN +23%, APAC +22% Q1 26 obesity) + cash channel + Medicare volume. Watch H2 2026 US realised price vs guidance.</t>
  </si>
  <si>
    <t>Biosimilar semaglutide — Canada/Brazil/India already, China late 2026</t>
  </si>
  <si>
    <t>REALISED + IMMINENT</t>
  </si>
  <si>
    <t>Generic semaglutide approved Canada Q1 26; launched India; Brazil contested; China LoE late 2026. Cumulative DKK 13bn at risk in 2026-27 from non-US markets alone. Major US/EU LoE 2031-32 but commercial pressure mounts much earlier.</t>
  </si>
  <si>
    <t>Mgmt argues this is 'expansion of access' (more patients) not 'destruction of revenue.' True for Wegovy where Novo has device + brand. False for Ozempic where it's pure peptide commoditization. Watch IO pricing/volume mix.</t>
  </si>
  <si>
    <t>🟡  MEDIUM RISK</t>
  </si>
  <si>
    <t>Manufacturing constraints (Wegovy pill scale-up)</t>
  </si>
  <si>
    <t>Wegovy pill is a PEPTIDE (not small molecule like Foundayo) — harder to scale. Catalent sites added FY24 ($11bn) help but still capacity-bound vs demand. Q1 26 Wegovy pill at 200k+ weekly TRx already shows possible supply tightness.</t>
  </si>
  <si>
    <t>Watch Q3 2026 prescription growth vs capacity. Mgmt FY26 capex DKK 55bn (-DKK 5bn vs FY25) — declining, suggests confidence in current capacity.</t>
  </si>
  <si>
    <t>M&amp;A execution risk ($35bn analyst-modelled ceiling)</t>
  </si>
  <si>
    <t>Jefferies' Leuchten est NVO could spend $35bn on M&amp;A this year post-CagriSema. Already deployed $5.2bn Akero + $2.1bn Omeros + $2.1bn Vivtex + $2.4bn Septerna. Lost Metsera to Pfizer at $10bn (FTC antitrust concerns). Net debt DKK 116bn already up 22% in Q1 26.</t>
  </si>
  <si>
    <t>Doustdar quote: 'looking for deals more than ever before.' Watch Structure Therapeutics ($2.8bn pre-103% surge in May 2026) — most-cited target. Risk = overpayment for desperate pipeline filling. Watch ROIC on M&amp;A annually.</t>
  </si>
  <si>
    <t>FX headwinds (DKK revenue base, USD weakness)</t>
  </si>
  <si>
    <t>USD/DKK at 6.78 = DKK strengthened ~10% vs USD in past year. Mgmt: DKK growth 2pp lower than CER for 2026. On DKK 309bn revenue base = DKK 6bn drag.</t>
  </si>
  <si>
    <t>Hedging programme covers 12 months on USD (DKK 4.45bn / 5% impact). Watch USD/DKK trajectory through H2 26.</t>
  </si>
  <si>
    <t>Compounded semaglutide re-emergence (if FDA reverses)</t>
  </si>
  <si>
    <t>FDA enforcement Q3 2025 effectively shut down legitimate compounding. But if litigation reverses or PBM pressure forces relaxation, ~DKK 10-15bn revenue could re-leak.</t>
  </si>
  <si>
    <t>FDA position has hardened post-MFN agreement (Nov 2025). Unlikely to reverse. Watch for any FDA notice action.</t>
  </si>
  <si>
    <t>Wegovy pill regulatory delay outside US</t>
  </si>
  <si>
    <t>EU CHMP positive opinion May 22 2026 = on track. But individual country pricing negotiations could delay launches in Germany/UK/France. Each 3-month delay = ~DKK 1-2bn revenue.</t>
  </si>
  <si>
    <t>Mgmt expects H2 2026 launches in select markets. Watch EMA final decision and first-launch country.</t>
  </si>
  <si>
    <t>🟢  LOW RISK</t>
  </si>
  <si>
    <t>Core diabetes franchise disappearing</t>
  </si>
  <si>
    <t>Ozempic FY25 sales DKK 127bn = still 41% of total. T2D label remains gold standard. Patent 2031+. Real risk only manifests post-LoE late 2030s.</t>
  </si>
  <si>
    <t>Mgmt prioritising diabetes leadership (Awiqli once-weekly basal insulin approved Mar 2026, Kyinsu combo Mar 2026). Diabetes is the stable backbone.</t>
  </si>
  <si>
    <t>Dividend sustainability</t>
  </si>
  <si>
    <t>VERY LOW</t>
  </si>
  <si>
    <t>FY25 dividend DKK 51,975m vs FY25 net income DKK 102,434m = 50% payout. FY26 guidance FCF DKK 36-46bn easily covers DKK ~52bn dividend (with mild buyback reduction).</t>
  </si>
  <si>
    <t>Mgmt explicit commitment to dividend continuity. Already reduced buybacks from DKK 30bn (FY23) to DKK 1.4bn (FY25) to preserve dividend. Payout flexibility intact.</t>
  </si>
  <si>
    <t>Rare Disease segment competitive position</t>
  </si>
  <si>
    <t>FY25 sales DKK 19.6bn = 6% of total. Etavopivat (sickle cell) Ph3 success Apr 26 = growth lever. Mim8 (Q4 26 decision) competes with Roche Hemlibra — meaningful but bounded.</t>
  </si>
  <si>
    <t>Strategic pivot to obesity-focused R&amp;D = lower investment but cash cow segment with multi-year visibility.</t>
  </si>
  <si>
    <t>ACTIVIST INVESTOR REGISTER (PE Standard Section)</t>
  </si>
  <si>
    <t>Investor</t>
  </si>
  <si>
    <t>Stake</t>
  </si>
  <si>
    <t>Thesis</t>
  </si>
  <si>
    <t>Status</t>
  </si>
  <si>
    <t>Novo Holdings A/S (Foundation)</t>
  </si>
  <si>
    <t>~28% A+B shares / ~77% voting</t>
  </si>
  <si>
    <t>Long-term steward; controls Board nominations. Lars Rebien Sørensen (former Novo CEO) is Chair. Aligned with shareholders but ultimate decision-maker.</t>
  </si>
  <si>
    <t>STABLE — Foundation structure prevents hostile takeover. Source of strength but limits activist pressure.</t>
  </si>
  <si>
    <t>Board Renewal (EGM 2025-26 dispute)</t>
  </si>
  <si>
    <t>Governance</t>
  </si>
  <si>
    <t>AR 2025 explicitly notes 'different visions for the pace and extent of board renewal between Novo Nordisk Board and the Foundation Board made an EGM necessary.'</t>
  </si>
  <si>
    <t>RECENTLY RESOLVED — 'reconfigured Board stands ready to support management.' But the airing of internal disagreement is unusual for Novo culture and worth monitoring.</t>
  </si>
  <si>
    <t>Major Activist Campaigns</t>
  </si>
  <si>
    <t>None</t>
  </si>
  <si>
    <t>No publicly disclosed activist campaign against Novo as of May 2026. Foundation structure (77% voting) effectively prevents external activism.</t>
  </si>
  <si>
    <t>STABLE — Activist risk is essentially zero. Sells-side opinion shifts (GS downgrade Mar 26) are the proxy for institutional dissatisfaction.</t>
  </si>
  <si>
    <t>Implied dissatisfaction signals</t>
  </si>
  <si>
    <t>Multi-signal</t>
  </si>
  <si>
    <t>(a) Goldman downgrade Mar 26 (Buy→Neutral, PT $63→$41); (b) Morgan Stanley Underweight Sep 25; (c) CEO Jørgensen replaced by Doustdar Aug 2025 — implicit Board verdict on his handling of CagriSema and obesity strategy.</t>
  </si>
  <si>
    <t>ESCALATING — Sell-side pressure as proxy for activism. Doustdar's new strategy + Sep 21 2026 Capital Markets Day are the response.</t>
  </si>
  <si>
    <t>INVESTMENT VERDICT  |  Novo Nordisk A/S  |  All metrics LINKED — recalculate if any input changes</t>
  </si>
  <si>
    <t>INVESTMENT SUMMARY (math-derived, no overlay)</t>
  </si>
  <si>
    <t>SCENARIO ANALYSIS — Bull / Base / Bear</t>
  </si>
  <si>
    <t>Prob-Weighted Target</t>
  </si>
  <si>
    <t>Trigger Conditions / Path to Target</t>
  </si>
  <si>
    <t>Wegovy pill maintains 200k+/wk through Q3 2026 + EU H2 launches add DKK 5bn+ + CagriSema clean approval Q4 2026 + Akero EFX Ph3 positive Q4 2026 + Medicare Bridge enrollment &gt;2m by YE 2027 + Foundayo runs &lt;50% Wegovy pill trajectory. Revenue CAGR FY26-30 +11%; EBITDA margin recovers to 49%. NVO re-rates toward pharma median (Bull P/E 18x). DCF Bull $74.32, P/E Bull $60.39, EV/EBITDA Bull $63.03.</t>
  </si>
  <si>
    <t>Most likely outcome. Wegovy pill ramp slows to 150-180k weekly by YE 2026 (telehealth-to-insured transition lagging); CagriSema gets narrow Q4 2026 approval (diabetes-focused); Medicare Bridge takes 12-18 months to scale; Foundayo settles at 40-50% of Wegovy pill share; Akero EFX Ph3 reads positive but commercial uncertain. Revenue CAGR FY26-30 +5%; EBITDA margin holds 45%. NVO multiples unchanged. DCF Base $48.32, P/E Base $45.30, EV/EBITDA Base $48.70.</t>
  </si>
  <si>
    <t>Value trap realised. Wegovy pill plateaus at 100-120k weekly Q3 2026 (Foundayo catches up faster); CagriSema rejected or labelled narrowly with weak commercial uptake; WAC -50% in Jan 2027 leaks earlier into 2026 channel pricing; biosimilar uptake in EU faster than peptide-pathway suggests; Akero EFX Ph3 mixed result. Revenue declines -1.5% CAGR through 2030; EBITDA margin compresses to 35%. Multiple stays at 8x EBITDA. DCF Bear $21.43, P/E Bear $25.67, EV/EBITDA Bear $31.98.</t>
  </si>
  <si>
    <t>THE ONE THING THAT DETERMINES EVERYTHING</t>
  </si>
  <si>
    <t>Wegovy pill prescription trajectory through Q3 2026</t>
  </si>
  <si>
    <t>Wegovy pill is the single variable that determines which of Bull / Base / Bear realises. Three reasons: (i) It is THE only meaningful 2026-27 incremental revenue driver — Q1 2026 already delivered DKK 2.26bn (2× consensus), and annualised the run-rate could be DKK 18-22bn (Bull) or DKK 9-12bn (Base) — a DKK 10bn swing on a DKK 309bn revenue base. (ii) It validates Novo's strategic differentiation vs Lilly. Wegovy pill (peptide) is harder to manufacture but Novo has 3-month head start, full Wegovy brand pull, and 65% of new GLP-1 scripts in the US. If Foundayo (Lilly oral) catches up faster than 30% of Wegovy pill trajectory it has shown so far, the Lilly-wins-obesity narrative is confirmed. (iii) Wegovy pill is the IP runway — protected to mid-2030s vs Wegovy injectable's 2031-32 LoE. The 12-week milestone (~early July 2026) is the read.</t>
  </si>
  <si>
    <t>WHAT TO WATCH — THREE METRICS NEXT 6 MONTHS</t>
  </si>
  <si>
    <t>Target</t>
  </si>
  <si>
    <t>Interpretation</t>
  </si>
  <si>
    <t>1. Wegovy Pill Weekly TRx (IQVIA Xponent + internal)</t>
  </si>
  <si>
    <t>Target ≥200,000/wk sustained through Q3 2026</t>
  </si>
  <si>
    <t>Currently 200k+/wk for week ending Apr 17 2026. Drop to &lt;150k by July 2026 = bear case validation. Rise to 250k+ = bull case. The single most-watched data point.</t>
  </si>
  <si>
    <t>2. FDA CagriSema Decision (target Oct 2026)</t>
  </si>
  <si>
    <t>Target: Approved with broad obesity + T2D label</t>
  </si>
  <si>
    <t>Three outcomes: (a) Broad approval = positive surprise (Bull +$8/ADR); (b) Narrow label e.g. T2D-only = neutral (priced in); (c) Complete Response Letter / rejection = downside surprise (Bear -$5/ADR). PDUFA likely Oct 18-22 2026.</t>
  </si>
  <si>
    <t>3. Akero EFX Ph3 SYMMETRY Readout (Q4 2026)</t>
  </si>
  <si>
    <t>Target: ≥30% MASH resolution at F2-F3</t>
  </si>
  <si>
    <t>Validates $5.2bn acquisition Dec 2025. Positive = MASH franchise worth DKK 8-15bn peak (NVO has only Wegovy MASH submission as alternative). Negative = M&amp;A capital allocation question + Doustdar's first major acquisition assessment damaged.</t>
  </si>
  <si>
    <t>LEVERAGE STRESS TEST — Downside Protection (PE Standard)</t>
  </si>
  <si>
    <t>Scenario: Revenue -15% AND EBITDA margin -500bps (severe)</t>
  </si>
  <si>
    <t>Current / FY26E</t>
  </si>
  <si>
    <t>Stress</t>
  </si>
  <si>
    <t>Verdict</t>
  </si>
  <si>
    <t>Net Sales (DKKbn)</t>
  </si>
  <si>
    <t>284 (-8% mid)</t>
  </si>
  <si>
    <t>263 (-15%)</t>
  </si>
  <si>
    <t>Vs FY25 base DKK 309bn. -DKK 46bn from current trajectory.</t>
  </si>
  <si>
    <t>45%</t>
  </si>
  <si>
    <t>40%</t>
  </si>
  <si>
    <t>Down 500bps from base assumption. Reflects severe pricing + competition.</t>
  </si>
  <si>
    <t>EBITDA (DKKbn)</t>
  </si>
  <si>
    <t>128</t>
  </si>
  <si>
    <t>105</t>
  </si>
  <si>
    <t>-DKK 23bn EBITDA — material but Novo still highly profitable in absolute terms.</t>
  </si>
  <si>
    <t>Capex (DKKbn)</t>
  </si>
  <si>
    <t>55</t>
  </si>
  <si>
    <t>45</t>
  </si>
  <si>
    <t>Mgmt has demonstrated ability to flex capex (Catalent build done; FY26 -DKK 5bn already).</t>
  </si>
  <si>
    <t>FCF (DKKbn)</t>
  </si>
  <si>
    <t>36-46</t>
  </si>
  <si>
    <t>25-30</t>
  </si>
  <si>
    <t>Still positive, but ~DKK 35bn dividend looms — coverage thins.</t>
  </si>
  <si>
    <t>Net Debt / EBITDA</t>
  </si>
  <si>
    <t>0.8x</t>
  </si>
  <si>
    <t>1.4x</t>
  </si>
  <si>
    <t>Manageable. Investment-grade rating preserved. &lt;2x covenant headroom.</t>
  </si>
  <si>
    <t>Dividend Coverage</t>
  </si>
  <si>
    <t>1.0x cash</t>
  </si>
  <si>
    <t>0.7x cash</t>
  </si>
  <si>
    <t>Would require either buyback freeze (already happened) or modest dividend cut OR debt drawdown.</t>
  </si>
  <si>
    <t>Dividend Cut Threshold</t>
  </si>
  <si>
    <t>Rev -22% combined with margin -700bps</t>
  </si>
  <si>
    <t>Beyond stress test. Dividend likely survives even severe scenarios via DKK 70bn equity buffer + cash.</t>
  </si>
  <si>
    <t>M&amp;A STRESS — if NVO deploys full $35bn (Jefferies analyst ceiling)</t>
  </si>
  <si>
    <t>Adding $35bn (~DKK 240bn) M&amp;A to current DKK 116bn net debt = DKK 356bn / $52bn. Net Debt / EBITDA ratio = ~2.4x. Still investment-grade BUT cuts dividend flexibility and shifts NVO from defensive 'value-with-yield' to growth-acquisition narrative. Already lost Metsera ($10bn) to Pfizer — discipline questionable. Risk: paying premium to fill pipeline gap rather than allowing intrinsic R&amp;D to deliver.</t>
  </si>
  <si>
    <t>MANAGEMENT ASSESSMENT — Doustdar (current) &amp; Track Record (Jørgensen-era)</t>
  </si>
  <si>
    <t>Current CEO: Maziar Mike Doustdar (appointed August 2025)</t>
  </si>
  <si>
    <t>DOUSTDAR PROFILE — 30+ year Novo veteran, formerly head of International Operations (the segment growing fastest in FY25-26). Appointed CEO August 2025 to replace Lars Fruergaard Jørgensen during height of post-Wegovy de-rate. Mandate: stabilise franchise, execute Wegovy pill, redirect R&amp;D investment.</t>
  </si>
  <si>
    <t>FIRST 9 MONTHS RECORD — (i) Closed Akero $5.2bn acquisition Dec 2025; (ii) Launched Wegovy pill Jan 2026 — DKK 2.26bn Q1 (2× consensus); (iii) Launched Wegovy HD Apr 2026; (iv) Submitted CagriSema NDA Dec 2025 despite REDEFINE 4 failure (controversial call); (v) Conducted DKK 8bn restructuring; (vi) Raised Q1 guidance from -5/-13% to -4/-12% CER.</t>
  </si>
  <si>
    <t>DOUSTDAR'S STRATEGIC DOCTRINE — (a) Focus exclusively on Obesity + Diabetes (dropped CVD/CKD/MASH as standalone therapy areas — though MASH still pursued via EFX). (b) Aggressive M&amp;A: 'looking for deals more than ever before' (CNBC May 6 2026). (c) International expansion priority (EUCAN +23%, APAC +22% Q1 26 obesity). (d) Capital discipline: buybacks cut from DKK 30bn to DKK 1.4bn FY25; capex declining DKK 60→55→&lt;55bn.</t>
  </si>
  <si>
    <t>CAPITAL ALLOCATION ASSESSMENT — Lost Metsera $10bn bidding war (FTC blocked Novo on antitrust). Akero $5.2bn is the signature M&amp;A bet — execution depends on EFX Ph3 SYMMETRY readout Q4 2026. Multiple smaller deals (Omeros zaltenibart $2.1bn, Septerna $2.4bn, Vivtex $2.1bn licensing) suggest disciplined approach to risk-weighted bets. ROIC on M&amp;A historically poor industry-wide — Doustdar's record will be defined here.</t>
  </si>
  <si>
    <t>VERDICT (Doustdar tenure to date): NEUTRAL-POSITIVE. Wegovy pill execution is impressive. Restructuring move was decisive and well-received. M&amp;A pace is concerning but small deals are sensible. The real test is Q4 2026 CagriSema FDA + EFX Ph3 outcomes. Too early to judge — but the post-Jørgensen pivot has been credible.</t>
  </si>
  <si>
    <t>HISTORICAL CONTEXT — Lars Fruergaard Jørgensen era (2017-Aug 2025)</t>
  </si>
  <si>
    <t>GUIDANCE TRACK RECORD — Jørgensen era guidance was generally MET or BEATEN until FY24-FY25 transition. FY21-23: sales growth at CER beat initial guide every year. FY24 mid-year guidance cut from 18-26% to 8-14% sales growth (FY24 came in at +25.7% CER). FY25 initial guide 8-11% sales / 4-7% EBIT — finished within range at 10% / 6% CER.</t>
  </si>
  <si>
    <t>STRATEGIC LEGACY — (i) Led Novo through Ozempic and Wegovy launches; (ii) Made Catalent acquisition Dec 2024 ($16.5bn for 3 fill-finish sites); (iii) Approved CagriSema Ph3 design without head-to-head vs tirzepatide (the trial REDEFINE 4 was added later and failed Feb 2026 — Jørgensen had departed by then but the trial design issue traces to his era).</t>
  </si>
  <si>
    <t>STRATEGIC ERROR IN HINDSIGHT — Underestimated Lilly's ability to ship and scale tirzepatide. By the time REDEFINE 4 was designed, Zepbound was already gaining share. NVO's positioning of 'best-in-class GLP-1' became 'second-best in objective head-to-head.' This is the structural error that cost the franchise multiple expansion.</t>
  </si>
  <si>
    <t>DEPARTURE CIRCUMSTANCES — Replaced by Doustdar August 2025. Stock had fallen ~50% from peak. AR 2025 chair statement notes 'difficult but necessary action' and 'reduction of our workforce – the largest in our company's history' — Jørgensen-era empire-building wound back.</t>
  </si>
  <si>
    <t>VERDICT (Jørgensen tenure): Excellent operator during Wegovy hypergrowth (FY22-24). Strategic decisions on CagriSema trial design and Catalent timing now look poor. Board judgment was harsh but defensible. Doustdar inherits both the achievement and the cleanup.</t>
  </si>
  <si>
    <t>EXIT ROUTES (PE Standard — 3+ Strategic Buyers + Plan B)</t>
  </si>
  <si>
    <t>Context: NVO has a unique ownership structure — Novo Holdings A/S (Foundation) holds ~28% economic / ~77% voting via A-shares. This effectively prevents a hostile takeover by ANY single acquirer. Realistic 'exit' for public investors = re-rating to peer multiples, special dividend, or partial spin-off. Strategic M&amp;A would require Foundation approval.</t>
  </si>
  <si>
    <t>Exit Route</t>
  </si>
  <si>
    <t>Description</t>
  </si>
  <si>
    <t>Route 1: Public-market re-rating to peer median</t>
  </si>
  <si>
    <t>MOST LIKELY</t>
  </si>
  <si>
    <t>Multiple expansion from 13.4x to 16.6x fwd P/E = ~25% upside without earnings growth. Requires confidence return on Wegovy pill + CagriSema + EFX. Most likely 'exit.'</t>
  </si>
  <si>
    <t>Route 2: Comparable strategic acquirer (theoretical)</t>
  </si>
  <si>
    <t>BLOCKED BY FOUNDATION</t>
  </si>
  <si>
    <t>If Foundation ever agreed: J&amp;J ($425bn cap), Roche ($335bn), Pfizer ($165bn), AbbVie. Pfizer just outbid Novo for Metsera — has obesity ambitions. J&amp;J recently sold consumer to focus on Pharma. All face FTC scrutiny given combined GLP-1 share.</t>
  </si>
  <si>
    <t>Route 3: Strategic spin / partial divestment</t>
  </si>
  <si>
    <t>POSSIBLE — Doustdar focusing strategy</t>
  </si>
  <si>
    <t>Rare Disease segment (DKK 19.6bn FY25) could be spun out — has been mooted historically. Insulin franchise (DKK 53bn FY25) could also be separated as it's a different growth profile. Would unlock ~$15-25bn equity value if executed.</t>
  </si>
  <si>
    <t>Route 4: Special dividend / accelerated buyback</t>
  </si>
  <si>
    <t>PLAN B</t>
  </si>
  <si>
    <t>If M&amp;A capacity unused by YE 2026, Novo could announce DKK 30-50bn special dividend / accelerated buyback. Would lift dividend yield to 7-9% temporarily — clear positive catalyst. Foundation receives biggest share, so favoured route.</t>
  </si>
  <si>
    <t>Comparable Exits — Pharma De-rates That Recovered</t>
  </si>
  <si>
    <t>PRECEDENT</t>
  </si>
  <si>
    <t>AstraZeneca 2018: -45% drawdown post Brilinta concerns → recovered +280% by 2024 via oncology pivot (Tagrisso, Imfinzi). Took 3-4 years. Sanofi 2015-17: -35% drawdown on Dengvaxia + generic erosion → recovered modestly via Dupixent. Took 4 years.</t>
  </si>
  <si>
    <t>DYNAMIC VERDICT NOTE</t>
  </si>
  <si>
    <t>Recommendation and scenario targets above are FULLY LINKED to Assumptions sheet. Modify any input on Live Market Data or Assumptions and ALL targets, upsides, and the recommendation rating automatically re-derive via cross-sheet formulas. This sheet contains zero hardcoded numerical outputs.</t>
  </si>
  <si>
    <t xml:space="preserve">v1.0 — Formula-driven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</si>
</sst>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
    <numFmt numFmtId="165" formatCode="\$#,##0.0"/>
    <numFmt numFmtId="166" formatCode="0.00\x"/>
    <numFmt numFmtId="167" formatCode="0.0%"/>
    <numFmt numFmtId="168" formatCode="\$#,##0.00;&quot;($&quot;#,##0.00\);\-"/>
    <numFmt numFmtId="169" formatCode="#,##0;\(#,##0\);\-"/>
    <numFmt numFmtId="170" formatCode="\$#,##0;&quot;($&quot;#,##0\);\-"/>
    <numFmt numFmtId="171" formatCode="0.00\x;\(0.00&quot;x)&quot;;\-"/>
    <numFmt numFmtId="172" formatCode="0.00%;\(0.00%\);\-"/>
    <numFmt numFmtId="173" formatCode="0.0%;\(0.0%\);\-"/>
    <numFmt numFmtId="174" formatCode="#,##0.0;\(#,##0.0\);\-"/>
    <numFmt numFmtId="175" formatCode="#,##0.00;\(#,##0.00\);\-"/>
    <numFmt numFmtId="176" formatCode="0.0000"/>
  </numFmts>
  <fonts count="25" x14ac:knownFonts="1">
    <font>
      <sz val="11"/>
      <color theme="1"/>
      <name val="Calibri"/>
      <family val="2"/>
      <charset val="1"/>
    </font>
    <font>
      <b/>
      <sz val="11"/>
      <color rgb="FFC9A84C"/>
      <name val="Calibri"/>
      <charset val="1"/>
    </font>
    <font>
      <b/>
      <sz val="26"/>
      <color rgb="FFFFFFFF"/>
      <name val="Calibri"/>
      <charset val="1"/>
    </font>
    <font>
      <i/>
      <sz val="12"/>
      <color rgb="FFC9A84C"/>
      <name val="Calibri"/>
      <charset val="1"/>
    </font>
    <font>
      <b/>
      <sz val="9"/>
      <color rgb="FFC9A84C"/>
      <name val="Calibri"/>
      <charset val="1"/>
    </font>
    <font>
      <b/>
      <sz val="9"/>
      <color rgb="FFFFFFFF"/>
      <name val="Calibri"/>
      <charset val="1"/>
    </font>
    <font>
      <b/>
      <sz val="18"/>
      <color rgb="FFC9A84C"/>
      <name val="Calibri"/>
      <charset val="1"/>
    </font>
    <font>
      <i/>
      <sz val="8"/>
      <color rgb="FF595959"/>
      <name val="Calibri"/>
      <charset val="1"/>
    </font>
    <font>
      <b/>
      <sz val="14"/>
      <color rgb="FFFFFFFF"/>
      <name val="Calibri"/>
      <charset val="1"/>
    </font>
    <font>
      <b/>
      <sz val="10"/>
      <color rgb="FFFFFFFF"/>
      <name val="Calibri"/>
      <charset val="1"/>
    </font>
    <font>
      <b/>
      <sz val="9"/>
      <name val="Calibri"/>
      <charset val="1"/>
    </font>
    <font>
      <b/>
      <sz val="9"/>
      <color rgb="FF0070C0"/>
      <name val="Calibri"/>
      <charset val="1"/>
    </font>
    <font>
      <sz val="9"/>
      <name val="Calibri"/>
      <charset val="1"/>
    </font>
    <font>
      <b/>
      <sz val="9"/>
      <color rgb="FF000000"/>
      <name val="Calibri"/>
      <charset val="1"/>
    </font>
    <font>
      <sz val="9"/>
      <color rgb="FF0070C0"/>
      <name val="Calibri"/>
      <charset val="1"/>
    </font>
    <font>
      <sz val="9"/>
      <color rgb="FF000000"/>
      <name val="Calibri"/>
      <charset val="1"/>
    </font>
    <font>
      <sz val="9"/>
      <color rgb="FF006100"/>
      <name val="Calibri"/>
      <charset val="1"/>
    </font>
    <font>
      <b/>
      <sz val="9"/>
      <color rgb="FF006100"/>
      <name val="Calibri"/>
      <charset val="1"/>
    </font>
    <font>
      <b/>
      <sz val="12"/>
      <color rgb="FF000000"/>
      <name val="Calibri"/>
      <charset val="1"/>
    </font>
    <font>
      <b/>
      <sz val="9"/>
      <color rgb="FF1F2D4E"/>
      <name val="Calibri"/>
      <charset val="1"/>
    </font>
    <font>
      <b/>
      <sz val="10"/>
      <color rgb="FF1F2D4E"/>
      <name val="Calibri"/>
      <charset val="1"/>
    </font>
    <font>
      <b/>
      <sz val="11"/>
      <color rgb="FF1F2D4E"/>
      <name val="Calibri"/>
      <charset val="1"/>
    </font>
    <font>
      <b/>
      <sz val="16"/>
      <color rgb="FFFFFFFF"/>
      <name val="Calibri"/>
      <charset val="1"/>
    </font>
    <font>
      <b/>
      <sz val="12"/>
      <color rgb="FF1F2D4E"/>
      <name val="Calibri"/>
      <charset val="1"/>
    </font>
    <font>
      <b/>
      <sz val="9"/>
      <color rgb="FFFFFFFF"/>
      <name val="Calibri"/>
      <family val="2"/>
    </font>
  </fonts>
  <fills count="15">
    <fill>
      <patternFill patternType="none"/>
    </fill>
    <fill>
      <patternFill patternType="gray125"/>
    </fill>
    <fill>
      <patternFill patternType="solid">
        <fgColor rgb="FF1F2D4E"/>
        <bgColor rgb="FF003366"/>
      </patternFill>
    </fill>
    <fill>
      <patternFill patternType="solid">
        <fgColor rgb="FFF0D3D2"/>
        <bgColor rgb="FFE0E0E0"/>
      </patternFill>
    </fill>
    <fill>
      <patternFill patternType="solid">
        <fgColor rgb="FFF5E6D0"/>
        <bgColor rgb="FFE0E0E0"/>
      </patternFill>
    </fill>
    <fill>
      <patternFill patternType="solid">
        <fgColor rgb="FFDCEAD9"/>
        <bgColor rgb="FFE0E0E0"/>
      </patternFill>
    </fill>
    <fill>
      <patternFill patternType="solid">
        <fgColor rgb="FFF2F2F2"/>
        <bgColor rgb="FFFFFFFF"/>
      </patternFill>
    </fill>
    <fill>
      <patternFill patternType="solid">
        <fgColor rgb="FFC9A84C"/>
        <bgColor rgb="FFC28D2E"/>
      </patternFill>
    </fill>
    <fill>
      <patternFill patternType="solid">
        <fgColor rgb="FFF5C77A"/>
        <bgColor rgb="FFF2DC92"/>
      </patternFill>
    </fill>
    <fill>
      <patternFill patternType="solid">
        <fgColor rgb="FFF2DC92"/>
        <bgColor rgb="FFF5C77A"/>
      </patternFill>
    </fill>
    <fill>
      <patternFill patternType="solid">
        <fgColor rgb="FFC9DCEC"/>
        <bgColor rgb="FFE0E0E0"/>
      </patternFill>
    </fill>
    <fill>
      <patternFill patternType="solid">
        <fgColor rgb="FFE0E0E0"/>
        <bgColor rgb="FFDCEAD9"/>
      </patternFill>
    </fill>
    <fill>
      <patternFill patternType="solid">
        <fgColor rgb="FFB0413E"/>
        <bgColor rgb="FF993366"/>
      </patternFill>
    </fill>
    <fill>
      <patternFill patternType="solid">
        <fgColor rgb="FFC28D2E"/>
        <bgColor rgb="FFC9A84C"/>
      </patternFill>
    </fill>
    <fill>
      <patternFill patternType="solid">
        <fgColor rgb="FF1F7A3A"/>
        <bgColor rgb="FF00808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37">
    <xf numFmtId="0" fontId="0" fillId="0" borderId="0" xfId="0"/>
    <xf numFmtId="0" fontId="7" fillId="4" borderId="0" xfId="0" applyFont="1" applyFill="1" applyAlignment="1">
      <alignment horizontal="left" vertical="center" wrapText="1"/>
    </xf>
    <xf numFmtId="0" fontId="10" fillId="0" borderId="0" xfId="0" applyFont="1" applyAlignment="1">
      <alignment horizontal="left" vertical="center" wrapText="1"/>
    </xf>
    <xf numFmtId="0" fontId="10" fillId="4" borderId="0" xfId="0" applyFont="1" applyFill="1" applyAlignment="1">
      <alignment horizontal="left" vertical="center" wrapText="1"/>
    </xf>
    <xf numFmtId="0" fontId="5" fillId="2" borderId="0" xfId="0" applyFont="1" applyFill="1" applyAlignment="1">
      <alignment horizontal="center" vertical="center" wrapText="1"/>
    </xf>
    <xf numFmtId="0" fontId="7" fillId="0" borderId="0" xfId="0" applyFont="1" applyAlignment="1">
      <alignment horizontal="left" vertical="center" wrapText="1"/>
    </xf>
    <xf numFmtId="0" fontId="4" fillId="2" borderId="0" xfId="0" applyFont="1" applyFill="1" applyAlignment="1">
      <alignment horizontal="left" vertical="center"/>
    </xf>
    <xf numFmtId="0" fontId="5" fillId="2" borderId="0" xfId="0" applyFont="1" applyFill="1" applyAlignment="1">
      <alignment horizontal="left" vertical="center"/>
    </xf>
    <xf numFmtId="164" fontId="5" fillId="2" borderId="0" xfId="0" applyNumberFormat="1" applyFont="1" applyFill="1" applyAlignment="1">
      <alignment horizontal="right" vertical="center"/>
    </xf>
    <xf numFmtId="165" fontId="5" fillId="2" borderId="0" xfId="0" applyNumberFormat="1" applyFont="1" applyFill="1" applyAlignment="1">
      <alignment horizontal="right" vertical="center"/>
    </xf>
    <xf numFmtId="166" fontId="5" fillId="2" borderId="0" xfId="0" applyNumberFormat="1" applyFont="1" applyFill="1" applyAlignment="1">
      <alignment horizontal="right" vertical="center"/>
    </xf>
    <xf numFmtId="10" fontId="5" fillId="2" borderId="0" xfId="0" applyNumberFormat="1" applyFont="1" applyFill="1" applyAlignment="1">
      <alignment horizontal="right" vertical="center"/>
    </xf>
    <xf numFmtId="167" fontId="5" fillId="2" borderId="0" xfId="0" applyNumberFormat="1" applyFont="1" applyFill="1" applyAlignment="1">
      <alignment horizontal="right" vertical="center"/>
    </xf>
    <xf numFmtId="0" fontId="6" fillId="2" borderId="0" xfId="0" applyFont="1" applyFill="1" applyAlignment="1">
      <alignment horizontal="left" vertical="center"/>
    </xf>
    <xf numFmtId="0" fontId="5" fillId="2" borderId="1" xfId="0" applyFont="1" applyFill="1" applyBorder="1" applyAlignment="1">
      <alignment horizontal="center" vertical="center" wrapText="1"/>
    </xf>
    <xf numFmtId="168" fontId="11" fillId="0" borderId="0" xfId="0" applyNumberFormat="1" applyFont="1" applyAlignment="1">
      <alignment horizontal="right" vertical="center"/>
    </xf>
    <xf numFmtId="0" fontId="12" fillId="0" borderId="0" xfId="0" applyFont="1" applyAlignment="1">
      <alignment horizontal="left" vertical="center" wrapText="1"/>
    </xf>
    <xf numFmtId="169" fontId="11" fillId="0" borderId="0" xfId="0" applyNumberFormat="1" applyFont="1" applyAlignment="1">
      <alignment horizontal="right" vertical="center"/>
    </xf>
    <xf numFmtId="170" fontId="13" fillId="0" borderId="0" xfId="0" applyNumberFormat="1" applyFont="1" applyAlignment="1">
      <alignment horizontal="right" vertical="center"/>
    </xf>
    <xf numFmtId="171" fontId="14" fillId="0" borderId="0" xfId="0" applyNumberFormat="1" applyFont="1" applyAlignment="1">
      <alignment horizontal="right" vertical="center"/>
    </xf>
    <xf numFmtId="168" fontId="15" fillId="0" borderId="0" xfId="0" applyNumberFormat="1" applyFont="1" applyAlignment="1">
      <alignment horizontal="right" vertical="center"/>
    </xf>
    <xf numFmtId="172" fontId="13" fillId="0" borderId="0" xfId="0" applyNumberFormat="1" applyFont="1" applyAlignment="1">
      <alignment horizontal="right" vertical="center"/>
    </xf>
    <xf numFmtId="173" fontId="14" fillId="0" borderId="0" xfId="0" applyNumberFormat="1" applyFont="1" applyAlignment="1">
      <alignment horizontal="right" vertical="center"/>
    </xf>
    <xf numFmtId="173" fontId="15" fillId="0" borderId="0" xfId="0" applyNumberFormat="1" applyFont="1" applyAlignment="1">
      <alignment horizontal="right" vertical="center"/>
    </xf>
    <xf numFmtId="168" fontId="14" fillId="0" borderId="0" xfId="0" applyNumberFormat="1" applyFont="1" applyAlignment="1">
      <alignment horizontal="right" vertical="center"/>
    </xf>
    <xf numFmtId="172" fontId="14" fillId="0" borderId="0" xfId="0" applyNumberFormat="1" applyFont="1" applyAlignment="1">
      <alignment horizontal="right" vertical="center"/>
    </xf>
    <xf numFmtId="174" fontId="14" fillId="0" borderId="0" xfId="0" applyNumberFormat="1" applyFont="1" applyAlignment="1">
      <alignment horizontal="right" vertical="center"/>
    </xf>
    <xf numFmtId="0" fontId="10" fillId="0" borderId="0" xfId="0" applyFont="1" applyAlignment="1">
      <alignment horizontal="center"/>
    </xf>
    <xf numFmtId="169" fontId="14" fillId="0" borderId="0" xfId="0" applyNumberFormat="1" applyFont="1" applyAlignment="1">
      <alignment horizontal="right" vertical="center"/>
    </xf>
    <xf numFmtId="172" fontId="16" fillId="0" borderId="0" xfId="0" applyNumberFormat="1" applyFont="1" applyAlignment="1">
      <alignment horizontal="right" vertical="center"/>
    </xf>
    <xf numFmtId="0" fontId="12" fillId="0" borderId="0" xfId="0" applyFont="1" applyAlignment="1">
      <alignment horizontal="center" vertical="center"/>
    </xf>
    <xf numFmtId="172" fontId="15" fillId="0" borderId="0" xfId="0" applyNumberFormat="1" applyFont="1" applyAlignment="1">
      <alignment horizontal="right" vertical="center"/>
    </xf>
    <xf numFmtId="173" fontId="11" fillId="0" borderId="0" xfId="0" applyNumberFormat="1" applyFont="1" applyAlignment="1">
      <alignment horizontal="right" vertical="center"/>
    </xf>
    <xf numFmtId="0" fontId="12" fillId="0" borderId="0" xfId="0" applyFont="1" applyAlignment="1">
      <alignment horizontal="center"/>
    </xf>
    <xf numFmtId="173" fontId="13" fillId="0" borderId="0" xfId="0" applyNumberFormat="1" applyFont="1" applyAlignment="1">
      <alignment horizontal="right" vertical="center"/>
    </xf>
    <xf numFmtId="168" fontId="17" fillId="0" borderId="0" xfId="0" applyNumberFormat="1" applyFont="1" applyAlignment="1">
      <alignment horizontal="right" vertical="center"/>
    </xf>
    <xf numFmtId="168" fontId="13" fillId="0" borderId="0" xfId="0" applyNumberFormat="1" applyFont="1" applyAlignment="1">
      <alignment horizontal="right" vertical="center"/>
    </xf>
    <xf numFmtId="171" fontId="11" fillId="0" borderId="0" xfId="0" applyNumberFormat="1" applyFont="1" applyAlignment="1">
      <alignment horizontal="right" vertical="center"/>
    </xf>
    <xf numFmtId="169" fontId="13" fillId="0" borderId="0" xfId="0" applyNumberFormat="1" applyFont="1" applyAlignment="1">
      <alignment horizontal="right" vertical="center"/>
    </xf>
    <xf numFmtId="0" fontId="18" fillId="0" borderId="0" xfId="0" applyFont="1" applyAlignment="1">
      <alignment horizontal="center"/>
    </xf>
    <xf numFmtId="168" fontId="18" fillId="0" borderId="0" xfId="0" applyNumberFormat="1" applyFont="1" applyAlignment="1">
      <alignment horizontal="right" vertical="center"/>
    </xf>
    <xf numFmtId="173" fontId="17" fillId="0" borderId="0" xfId="0" applyNumberFormat="1" applyFont="1" applyAlignment="1">
      <alignment horizontal="right" vertical="center"/>
    </xf>
    <xf numFmtId="170" fontId="16" fillId="0" borderId="0" xfId="0" applyNumberFormat="1" applyFont="1" applyAlignment="1">
      <alignment horizontal="right" vertical="center"/>
    </xf>
    <xf numFmtId="175" fontId="14" fillId="0" borderId="0" xfId="0" applyNumberFormat="1" applyFont="1" applyAlignment="1">
      <alignment horizontal="right" vertical="center"/>
    </xf>
    <xf numFmtId="173" fontId="16" fillId="0" borderId="0" xfId="0" applyNumberFormat="1" applyFont="1" applyAlignment="1">
      <alignment horizontal="right" vertical="center"/>
    </xf>
    <xf numFmtId="0" fontId="12" fillId="0" borderId="0" xfId="0" applyFont="1" applyAlignment="1">
      <alignment horizontal="right" vertical="center"/>
    </xf>
    <xf numFmtId="0" fontId="10" fillId="0" borderId="0" xfId="0" applyFont="1" applyAlignment="1">
      <alignment horizontal="right" vertical="center"/>
    </xf>
    <xf numFmtId="0" fontId="14" fillId="0" borderId="0" xfId="0" applyFont="1" applyAlignment="1">
      <alignment horizontal="right" vertical="center"/>
    </xf>
    <xf numFmtId="0" fontId="10" fillId="3" borderId="0" xfId="0" applyFont="1" applyFill="1" applyAlignment="1">
      <alignment horizontal="center"/>
    </xf>
    <xf numFmtId="0" fontId="10" fillId="4" borderId="0" xfId="0" applyFont="1" applyFill="1" applyAlignment="1">
      <alignment horizontal="center"/>
    </xf>
    <xf numFmtId="0" fontId="10" fillId="5" borderId="0" xfId="0" applyFont="1" applyFill="1" applyAlignment="1">
      <alignment horizontal="center"/>
    </xf>
    <xf numFmtId="169" fontId="13" fillId="6" borderId="0" xfId="0" applyNumberFormat="1" applyFont="1" applyFill="1" applyAlignment="1">
      <alignment horizontal="right" vertical="center"/>
    </xf>
    <xf numFmtId="0" fontId="19" fillId="7" borderId="0" xfId="0" applyFont="1" applyFill="1" applyAlignment="1">
      <alignment horizontal="center"/>
    </xf>
    <xf numFmtId="0" fontId="10" fillId="0" borderId="0" xfId="0" applyFont="1" applyAlignment="1">
      <alignment horizontal="right"/>
    </xf>
    <xf numFmtId="0" fontId="12" fillId="0" borderId="0" xfId="0" applyFont="1" applyAlignment="1">
      <alignment horizontal="right"/>
    </xf>
    <xf numFmtId="169" fontId="20" fillId="7" borderId="0" xfId="0" applyNumberFormat="1" applyFont="1" applyFill="1" applyAlignment="1">
      <alignment horizontal="right" vertical="center"/>
    </xf>
    <xf numFmtId="173" fontId="13" fillId="4" borderId="0" xfId="0" applyNumberFormat="1" applyFont="1" applyFill="1" applyAlignment="1">
      <alignment horizontal="right" vertical="center"/>
    </xf>
    <xf numFmtId="169" fontId="15" fillId="0" borderId="0" xfId="0" applyNumberFormat="1" applyFont="1" applyAlignment="1">
      <alignment horizontal="right" vertical="center"/>
    </xf>
    <xf numFmtId="0" fontId="10" fillId="8" borderId="0" xfId="0" applyFont="1" applyFill="1" applyAlignment="1">
      <alignment horizontal="left" vertical="center" wrapText="1"/>
    </xf>
    <xf numFmtId="0" fontId="12" fillId="8" borderId="0" xfId="0" applyFont="1" applyFill="1" applyAlignment="1">
      <alignment horizontal="left" vertical="center" wrapText="1"/>
    </xf>
    <xf numFmtId="0" fontId="12" fillId="8" borderId="0" xfId="0" applyFont="1" applyFill="1" applyAlignment="1">
      <alignment horizontal="center" vertical="center" wrapText="1"/>
    </xf>
    <xf numFmtId="173" fontId="14" fillId="8" borderId="0" xfId="0" applyNumberFormat="1" applyFont="1" applyFill="1" applyAlignment="1">
      <alignment horizontal="right" vertical="center"/>
    </xf>
    <xf numFmtId="174" fontId="11" fillId="8" borderId="0" xfId="0" applyNumberFormat="1" applyFont="1" applyFill="1" applyAlignment="1">
      <alignment horizontal="right" vertical="center"/>
    </xf>
    <xf numFmtId="174" fontId="13" fillId="8" borderId="0" xfId="0" applyNumberFormat="1" applyFont="1" applyFill="1" applyAlignment="1">
      <alignment horizontal="right" vertical="center"/>
    </xf>
    <xf numFmtId="0" fontId="10" fillId="9" borderId="0" xfId="0" applyFont="1" applyFill="1" applyAlignment="1">
      <alignment horizontal="left" vertical="center" wrapText="1"/>
    </xf>
    <xf numFmtId="0" fontId="12" fillId="9" borderId="0" xfId="0" applyFont="1" applyFill="1" applyAlignment="1">
      <alignment horizontal="left" vertical="center" wrapText="1"/>
    </xf>
    <xf numFmtId="0" fontId="12" fillId="9" borderId="0" xfId="0" applyFont="1" applyFill="1" applyAlignment="1">
      <alignment horizontal="center" vertical="center" wrapText="1"/>
    </xf>
    <xf numFmtId="173" fontId="14" fillId="9" borderId="0" xfId="0" applyNumberFormat="1" applyFont="1" applyFill="1" applyAlignment="1">
      <alignment horizontal="right" vertical="center"/>
    </xf>
    <xf numFmtId="174" fontId="11" fillId="9" borderId="0" xfId="0" applyNumberFormat="1" applyFont="1" applyFill="1" applyAlignment="1">
      <alignment horizontal="right" vertical="center"/>
    </xf>
    <xf numFmtId="174" fontId="13" fillId="9" borderId="0" xfId="0" applyNumberFormat="1" applyFont="1" applyFill="1" applyAlignment="1">
      <alignment horizontal="right" vertical="center"/>
    </xf>
    <xf numFmtId="0" fontId="10" fillId="10" borderId="0" xfId="0" applyFont="1" applyFill="1" applyAlignment="1">
      <alignment horizontal="left" vertical="center" wrapText="1"/>
    </xf>
    <xf numFmtId="0" fontId="12" fillId="10" borderId="0" xfId="0" applyFont="1" applyFill="1" applyAlignment="1">
      <alignment horizontal="left" vertical="center" wrapText="1"/>
    </xf>
    <xf numFmtId="0" fontId="12" fillId="10" borderId="0" xfId="0" applyFont="1" applyFill="1" applyAlignment="1">
      <alignment horizontal="center" vertical="center" wrapText="1"/>
    </xf>
    <xf numFmtId="173" fontId="14" fillId="10" borderId="0" xfId="0" applyNumberFormat="1" applyFont="1" applyFill="1" applyAlignment="1">
      <alignment horizontal="right" vertical="center"/>
    </xf>
    <xf numFmtId="174" fontId="11" fillId="10" borderId="0" xfId="0" applyNumberFormat="1" applyFont="1" applyFill="1" applyAlignment="1">
      <alignment horizontal="right" vertical="center"/>
    </xf>
    <xf numFmtId="174" fontId="13" fillId="10" borderId="0" xfId="0" applyNumberFormat="1" applyFont="1" applyFill="1" applyAlignment="1">
      <alignment horizontal="right" vertical="center"/>
    </xf>
    <xf numFmtId="0" fontId="10" fillId="11" borderId="0" xfId="0" applyFont="1" applyFill="1" applyAlignment="1">
      <alignment horizontal="left" vertical="center" wrapText="1"/>
    </xf>
    <xf numFmtId="0" fontId="12" fillId="11" borderId="0" xfId="0" applyFont="1" applyFill="1" applyAlignment="1">
      <alignment horizontal="left" vertical="center" wrapText="1"/>
    </xf>
    <xf numFmtId="0" fontId="12" fillId="11" borderId="0" xfId="0" applyFont="1" applyFill="1" applyAlignment="1">
      <alignment horizontal="center" vertical="center" wrapText="1"/>
    </xf>
    <xf numFmtId="173" fontId="14" fillId="11" borderId="0" xfId="0" applyNumberFormat="1" applyFont="1" applyFill="1" applyAlignment="1">
      <alignment horizontal="right" vertical="center"/>
    </xf>
    <xf numFmtId="174" fontId="11" fillId="11" borderId="0" xfId="0" applyNumberFormat="1" applyFont="1" applyFill="1" applyAlignment="1">
      <alignment horizontal="right" vertical="center"/>
    </xf>
    <xf numFmtId="174" fontId="13" fillId="11" borderId="0" xfId="0" applyNumberFormat="1" applyFont="1" applyFill="1" applyAlignment="1">
      <alignment horizontal="right" vertical="center"/>
    </xf>
    <xf numFmtId="174" fontId="13" fillId="6" borderId="0" xfId="0" applyNumberFormat="1" applyFont="1" applyFill="1" applyAlignment="1">
      <alignment horizontal="right" vertical="center"/>
    </xf>
    <xf numFmtId="174" fontId="21" fillId="7" borderId="0" xfId="0" applyNumberFormat="1" applyFont="1" applyFill="1" applyAlignment="1">
      <alignment horizontal="right" vertical="center"/>
    </xf>
    <xf numFmtId="174" fontId="13" fillId="0" borderId="0" xfId="0" applyNumberFormat="1" applyFont="1" applyAlignment="1">
      <alignment horizontal="right" vertical="center"/>
    </xf>
    <xf numFmtId="169" fontId="17" fillId="0" borderId="0" xfId="0" applyNumberFormat="1" applyFont="1" applyAlignment="1">
      <alignment horizontal="right" vertical="center"/>
    </xf>
    <xf numFmtId="169" fontId="16" fillId="0" borderId="0" xfId="0" applyNumberFormat="1" applyFont="1" applyAlignment="1">
      <alignment horizontal="right" vertical="center"/>
    </xf>
    <xf numFmtId="0" fontId="10" fillId="5" borderId="0" xfId="0" applyFont="1" applyFill="1" applyAlignment="1">
      <alignment horizontal="left" vertical="center" wrapText="1"/>
    </xf>
    <xf numFmtId="169" fontId="13" fillId="5" borderId="0" xfId="0" applyNumberFormat="1" applyFont="1" applyFill="1" applyAlignment="1">
      <alignment horizontal="right" vertical="center"/>
    </xf>
    <xf numFmtId="176" fontId="16" fillId="0" borderId="0" xfId="0" applyNumberFormat="1" applyFont="1" applyAlignment="1">
      <alignment horizontal="right" vertical="center"/>
    </xf>
    <xf numFmtId="169" fontId="17" fillId="4" borderId="0" xfId="0" applyNumberFormat="1" applyFont="1" applyFill="1" applyAlignment="1">
      <alignment horizontal="right" vertical="center"/>
    </xf>
    <xf numFmtId="168" fontId="21" fillId="7" borderId="0" xfId="0" applyNumberFormat="1" applyFont="1" applyFill="1" applyAlignment="1">
      <alignment horizontal="right" vertical="center"/>
    </xf>
    <xf numFmtId="0" fontId="10" fillId="3" borderId="0" xfId="0" applyFont="1" applyFill="1" applyAlignment="1">
      <alignment horizontal="left" vertical="center" wrapText="1"/>
    </xf>
    <xf numFmtId="169" fontId="13" fillId="3" borderId="0" xfId="0" applyNumberFormat="1" applyFont="1" applyFill="1" applyAlignment="1">
      <alignment horizontal="right" vertical="center"/>
    </xf>
    <xf numFmtId="168" fontId="13" fillId="5" borderId="0" xfId="0" applyNumberFormat="1" applyFont="1" applyFill="1" applyAlignment="1">
      <alignment horizontal="right" vertical="center"/>
    </xf>
    <xf numFmtId="168" fontId="10" fillId="7" borderId="0" xfId="0" applyNumberFormat="1" applyFont="1" applyFill="1" applyAlignment="1">
      <alignment horizontal="right" vertical="center"/>
    </xf>
    <xf numFmtId="168" fontId="13" fillId="3" borderId="0" xfId="0" applyNumberFormat="1" applyFont="1" applyFill="1" applyAlignment="1">
      <alignment horizontal="right" vertical="center"/>
    </xf>
    <xf numFmtId="171" fontId="12" fillId="0" borderId="0" xfId="0" applyNumberFormat="1" applyFont="1" applyAlignment="1">
      <alignment horizontal="right" vertical="center"/>
    </xf>
    <xf numFmtId="0" fontId="10" fillId="6" borderId="0" xfId="0" applyFont="1" applyFill="1" applyAlignment="1">
      <alignment horizontal="left" vertical="center" wrapText="1"/>
    </xf>
    <xf numFmtId="0" fontId="12" fillId="6" borderId="0" xfId="0" applyFont="1" applyFill="1" applyAlignment="1">
      <alignment horizontal="center"/>
    </xf>
    <xf numFmtId="171" fontId="13" fillId="6" borderId="0" xfId="0" applyNumberFormat="1" applyFont="1" applyFill="1" applyAlignment="1">
      <alignment horizontal="right" vertical="center"/>
    </xf>
    <xf numFmtId="0" fontId="7" fillId="6" borderId="0" xfId="0" applyFont="1" applyFill="1" applyAlignment="1">
      <alignment horizontal="left" vertical="center" wrapText="1"/>
    </xf>
    <xf numFmtId="171" fontId="15" fillId="0" borderId="0" xfId="0" applyNumberFormat="1" applyFont="1" applyAlignment="1">
      <alignment horizontal="right" vertical="center"/>
    </xf>
    <xf numFmtId="0" fontId="19" fillId="7" borderId="0" xfId="0" applyFont="1" applyFill="1" applyAlignment="1">
      <alignment horizontal="left" vertical="center" wrapText="1"/>
    </xf>
    <xf numFmtId="0" fontId="12" fillId="4" borderId="0" xfId="0" applyFont="1" applyFill="1" applyAlignment="1">
      <alignment horizontal="center"/>
    </xf>
    <xf numFmtId="171" fontId="17" fillId="4" borderId="0" xfId="0" applyNumberFormat="1" applyFont="1" applyFill="1" applyAlignment="1">
      <alignment horizontal="right" vertical="center"/>
    </xf>
    <xf numFmtId="0" fontId="12" fillId="4" borderId="0" xfId="0" applyFont="1" applyFill="1" applyAlignment="1">
      <alignment horizontal="left" vertical="center" wrapText="1"/>
    </xf>
    <xf numFmtId="171" fontId="13" fillId="0" borderId="0" xfId="0" applyNumberFormat="1" applyFont="1" applyAlignment="1">
      <alignment horizontal="right" vertical="center"/>
    </xf>
    <xf numFmtId="168" fontId="16" fillId="0" borderId="0" xfId="0" applyNumberFormat="1" applyFont="1" applyAlignment="1">
      <alignment horizontal="right" vertical="center"/>
    </xf>
    <xf numFmtId="168" fontId="20" fillId="7" borderId="0" xfId="0" applyNumberFormat="1" applyFont="1" applyFill="1" applyAlignment="1">
      <alignment horizontal="right" vertical="center"/>
    </xf>
    <xf numFmtId="173" fontId="17" fillId="4" borderId="0" xfId="0" applyNumberFormat="1" applyFont="1" applyFill="1" applyAlignment="1">
      <alignment horizontal="right" vertical="center"/>
    </xf>
    <xf numFmtId="171" fontId="14" fillId="4" borderId="0" xfId="0" applyNumberFormat="1" applyFont="1" applyFill="1" applyAlignment="1">
      <alignment horizontal="right" vertical="center"/>
    </xf>
    <xf numFmtId="0" fontId="12" fillId="3" borderId="0" xfId="0" applyFont="1" applyFill="1" applyAlignment="1">
      <alignment horizontal="center" vertical="center"/>
    </xf>
    <xf numFmtId="0" fontId="7" fillId="3" borderId="0" xfId="0" applyFont="1" applyFill="1" applyAlignment="1">
      <alignment horizontal="left" vertical="center" wrapText="1"/>
    </xf>
    <xf numFmtId="0" fontId="12" fillId="4" borderId="0" xfId="0" applyFont="1" applyFill="1" applyAlignment="1">
      <alignment horizontal="center" vertical="center"/>
    </xf>
    <xf numFmtId="0" fontId="12" fillId="5" borderId="0" xfId="0" applyFont="1" applyFill="1" applyAlignment="1">
      <alignment horizontal="center" vertical="center"/>
    </xf>
    <xf numFmtId="0" fontId="7" fillId="5" borderId="0" xfId="0" applyFont="1" applyFill="1" applyAlignment="1">
      <alignment horizontal="left" vertical="center" wrapText="1"/>
    </xf>
    <xf numFmtId="0" fontId="24" fillId="2" borderId="0" xfId="0" applyFont="1" applyFill="1" applyAlignment="1">
      <alignment horizontal="left" vertical="center"/>
    </xf>
    <xf numFmtId="0" fontId="7" fillId="0" borderId="0" xfId="0" applyFont="1" applyAlignment="1">
      <alignment horizontal="left" vertical="center" wrapText="1"/>
    </xf>
    <xf numFmtId="0" fontId="5" fillId="2" borderId="0" xfId="0" applyFont="1" applyFill="1" applyAlignment="1">
      <alignment horizontal="center" vertical="center" wrapText="1"/>
    </xf>
    <xf numFmtId="0" fontId="8" fillId="2" borderId="0" xfId="0" applyFont="1" applyFill="1" applyAlignment="1">
      <alignment horizontal="left" vertical="center"/>
    </xf>
    <xf numFmtId="0" fontId="9"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7" fillId="4" borderId="0" xfId="0" applyFont="1" applyFill="1" applyAlignment="1">
      <alignment horizontal="left" vertical="center" wrapText="1"/>
    </xf>
    <xf numFmtId="0" fontId="9" fillId="12" borderId="0" xfId="0" applyFont="1" applyFill="1" applyAlignment="1">
      <alignment horizontal="left" vertical="center"/>
    </xf>
    <xf numFmtId="0" fontId="9" fillId="13" borderId="0" xfId="0" applyFont="1" applyFill="1" applyAlignment="1">
      <alignment horizontal="left" vertical="center"/>
    </xf>
    <xf numFmtId="0" fontId="9" fillId="14" borderId="0" xfId="0" applyFont="1" applyFill="1" applyAlignment="1">
      <alignment horizontal="left" vertical="center"/>
    </xf>
    <xf numFmtId="0" fontId="10" fillId="0" borderId="0" xfId="0" applyFont="1" applyAlignment="1">
      <alignment horizontal="center"/>
    </xf>
    <xf numFmtId="0" fontId="10" fillId="6" borderId="0" xfId="0" applyFont="1" applyFill="1" applyAlignment="1">
      <alignment horizontal="left" vertical="center" wrapText="1"/>
    </xf>
    <xf numFmtId="0" fontId="12" fillId="0" borderId="0" xfId="0" applyFont="1" applyAlignment="1">
      <alignment horizontal="left" vertical="center" wrapText="1"/>
    </xf>
    <xf numFmtId="0" fontId="23" fillId="7" borderId="0" xfId="0" applyFont="1" applyFill="1" applyAlignment="1">
      <alignment horizontal="left" vertical="center" wrapText="1"/>
    </xf>
    <xf numFmtId="0" fontId="22" fillId="2" borderId="0" xfId="0" applyFont="1" applyFill="1" applyAlignment="1">
      <alignment horizontal="center" vertical="center" wrapText="1"/>
    </xf>
    <xf numFmtId="0" fontId="12" fillId="6"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1F7A3A"/>
      <rgbColor rgb="FFBFBFBF"/>
      <rgbColor rgb="FF808080"/>
      <rgbColor rgb="FF9999FF"/>
      <rgbColor rgb="FFB0413E"/>
      <rgbColor rgb="FFF2F2F2"/>
      <rgbColor rgb="FFE0E0E0"/>
      <rgbColor rgb="FF660066"/>
      <rgbColor rgb="FFFF8080"/>
      <rgbColor rgb="FF0070C0"/>
      <rgbColor rgb="FFC9DCEC"/>
      <rgbColor rgb="FF000080"/>
      <rgbColor rgb="FFFF00FF"/>
      <rgbColor rgb="FFFFFF00"/>
      <rgbColor rgb="FF00FFFF"/>
      <rgbColor rgb="FF800080"/>
      <rgbColor rgb="FF800000"/>
      <rgbColor rgb="FF008080"/>
      <rgbColor rgb="FF0000FF"/>
      <rgbColor rgb="FF00CCFF"/>
      <rgbColor rgb="FFF0D3D2"/>
      <rgbColor rgb="FFDCEAD9"/>
      <rgbColor rgb="FFF5E6D0"/>
      <rgbColor rgb="FF99CCFF"/>
      <rgbColor rgb="FFFF99CC"/>
      <rgbColor rgb="FFCC99FF"/>
      <rgbColor rgb="FFF5C77A"/>
      <rgbColor rgb="FF3366FF"/>
      <rgbColor rgb="FF33CCCC"/>
      <rgbColor rgb="FF99CC00"/>
      <rgbColor rgb="FFF2DC92"/>
      <rgbColor rgb="FFC28D2E"/>
      <rgbColor rgb="FFFF6600"/>
      <rgbColor rgb="FF595959"/>
      <rgbColor rgb="FFC9A84C"/>
      <rgbColor rgb="FF003366"/>
      <rgbColor rgb="FF339966"/>
      <rgbColor rgb="FF003300"/>
      <rgbColor rgb="FF333300"/>
      <rgbColor rgb="FF993300"/>
      <rgbColor rgb="FF993366"/>
      <rgbColor rgb="FF333399"/>
      <rgbColor rgb="FF1F2D4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3"/>
  <sheetViews>
    <sheetView showGridLines="0" tabSelected="1" zoomScaleNormal="100" workbookViewId="0">
      <selection activeCell="E9" sqref="E9"/>
    </sheetView>
  </sheetViews>
  <sheetFormatPr defaultColWidth="8.6640625" defaultRowHeight="14.25" x14ac:dyDescent="0.45"/>
  <cols>
    <col min="1" max="1" width="2" customWidth="1"/>
    <col min="2" max="2" width="32" customWidth="1"/>
    <col min="3" max="3" width="70" customWidth="1"/>
    <col min="4" max="4" width="2" customWidth="1"/>
  </cols>
  <sheetData>
    <row r="1" spans="2:3" ht="6" customHeight="1" x14ac:dyDescent="0.45"/>
    <row r="2" spans="2:3" ht="24" customHeight="1" x14ac:dyDescent="0.45">
      <c r="B2" s="122" t="s">
        <v>0</v>
      </c>
      <c r="C2" s="122"/>
    </row>
    <row r="3" spans="2:3" ht="37.5" customHeight="1" x14ac:dyDescent="0.45">
      <c r="B3" s="123" t="s">
        <v>1</v>
      </c>
      <c r="C3" s="123"/>
    </row>
    <row r="4" spans="2:3" ht="19.5" customHeight="1" x14ac:dyDescent="0.45">
      <c r="B4" s="122" t="s">
        <v>2</v>
      </c>
      <c r="C4" s="122"/>
    </row>
    <row r="5" spans="2:3" ht="27.75" customHeight="1" x14ac:dyDescent="0.45">
      <c r="B5" s="124" t="s">
        <v>3</v>
      </c>
      <c r="C5" s="124"/>
    </row>
    <row r="6" spans="2:3" ht="13.5" customHeight="1" x14ac:dyDescent="0.45"/>
    <row r="7" spans="2:3" ht="15" customHeight="1" x14ac:dyDescent="0.45">
      <c r="B7" s="6" t="s">
        <v>4</v>
      </c>
      <c r="C7" s="7" t="s">
        <v>5</v>
      </c>
    </row>
    <row r="8" spans="2:3" ht="15" customHeight="1" x14ac:dyDescent="0.45">
      <c r="B8" s="6" t="s">
        <v>6</v>
      </c>
      <c r="C8" s="7" t="s">
        <v>7</v>
      </c>
    </row>
    <row r="9" spans="2:3" ht="15" customHeight="1" x14ac:dyDescent="0.45">
      <c r="B9" s="6" t="s">
        <v>8</v>
      </c>
      <c r="C9" s="117" t="s">
        <v>948</v>
      </c>
    </row>
    <row r="10" spans="2:3" ht="15" customHeight="1" x14ac:dyDescent="0.45">
      <c r="B10" s="6" t="s">
        <v>9</v>
      </c>
      <c r="C10" s="7" t="s">
        <v>10</v>
      </c>
    </row>
    <row r="11" spans="2:3" ht="15" customHeight="1" x14ac:dyDescent="0.45">
      <c r="B11" s="6" t="s">
        <v>11</v>
      </c>
      <c r="C11" s="8">
        <f>'Live Market Data'!C5</f>
        <v>44.96</v>
      </c>
    </row>
    <row r="12" spans="2:3" ht="15" customHeight="1" x14ac:dyDescent="0.45">
      <c r="B12" s="6" t="s">
        <v>12</v>
      </c>
      <c r="C12" s="9">
        <f>'Live Market Data'!C7/1000</f>
        <v>199.39760000000001</v>
      </c>
    </row>
    <row r="13" spans="2:3" ht="15" customHeight="1" x14ac:dyDescent="0.45">
      <c r="B13" s="6" t="s">
        <v>13</v>
      </c>
      <c r="C13" s="9">
        <f>'Live Market Data'!C8/1000</f>
        <v>216.49479764011798</v>
      </c>
    </row>
    <row r="14" spans="2:3" ht="15" customHeight="1" x14ac:dyDescent="0.45">
      <c r="B14" s="6" t="s">
        <v>14</v>
      </c>
      <c r="C14" s="10">
        <f>'Live Market Data'!C11</f>
        <v>10.55</v>
      </c>
    </row>
    <row r="15" spans="2:3" ht="15" customHeight="1" x14ac:dyDescent="0.45">
      <c r="B15" s="6" t="s">
        <v>15</v>
      </c>
      <c r="C15" s="10">
        <f>'Live Market Data'!C14</f>
        <v>8.14</v>
      </c>
    </row>
    <row r="16" spans="2:3" ht="15" customHeight="1" x14ac:dyDescent="0.45">
      <c r="B16" s="6" t="s">
        <v>16</v>
      </c>
      <c r="C16" s="11">
        <f>'Live Market Data'!C17</f>
        <v>3.8382200107076492E-2</v>
      </c>
    </row>
    <row r="17" spans="2:3" ht="15" customHeight="1" x14ac:dyDescent="0.45">
      <c r="B17" s="6" t="s">
        <v>17</v>
      </c>
      <c r="C17" s="12">
        <f>'Live Market Data'!C19</f>
        <v>-0.22109999999999999</v>
      </c>
    </row>
    <row r="18" spans="2:3" ht="13.5" customHeight="1" x14ac:dyDescent="0.45"/>
    <row r="19" spans="2:3" ht="27.75" customHeight="1" x14ac:dyDescent="0.45">
      <c r="B19" s="6" t="s">
        <v>18</v>
      </c>
      <c r="C19" s="13" t="str">
        <f>Assumptions!C76</f>
        <v>HOLD</v>
      </c>
    </row>
    <row r="20" spans="2:3" ht="15" customHeight="1" x14ac:dyDescent="0.45">
      <c r="B20" s="6" t="s">
        <v>19</v>
      </c>
      <c r="C20" s="8">
        <f>Assumptions!C77</f>
        <v>45.898349881780369</v>
      </c>
    </row>
    <row r="21" spans="2:3" ht="15" customHeight="1" x14ac:dyDescent="0.45">
      <c r="B21" s="6" t="s">
        <v>20</v>
      </c>
      <c r="C21" s="12">
        <f>Assumptions!C78</f>
        <v>2.0870771391912069E-2</v>
      </c>
    </row>
    <row r="22" spans="2:3" ht="15" customHeight="1" x14ac:dyDescent="0.45">
      <c r="B22" s="6" t="s">
        <v>21</v>
      </c>
      <c r="C22" s="12">
        <f>Assumptions!C79</f>
        <v>5.925297149898856E-2</v>
      </c>
    </row>
    <row r="23" spans="2:3" ht="15" customHeight="1" x14ac:dyDescent="0.45">
      <c r="B23" s="6" t="s">
        <v>17</v>
      </c>
      <c r="C23" s="12">
        <f>'Live Market Data'!C19</f>
        <v>-0.22109999999999999</v>
      </c>
    </row>
    <row r="24" spans="2:3" ht="15" customHeight="1" x14ac:dyDescent="0.45">
      <c r="B24" s="6" t="s">
        <v>22</v>
      </c>
      <c r="C24" s="12">
        <f>'Live Market Data'!C20</f>
        <v>-0.6727802037845706</v>
      </c>
    </row>
    <row r="26" spans="2:3" ht="13.5" customHeight="1" x14ac:dyDescent="0.45"/>
    <row r="27" spans="2:3" ht="15" customHeight="1" x14ac:dyDescent="0.45">
      <c r="B27" s="6" t="s">
        <v>23</v>
      </c>
      <c r="C27" s="7" t="s">
        <v>24</v>
      </c>
    </row>
    <row r="28" spans="2:3" ht="15" customHeight="1" x14ac:dyDescent="0.45">
      <c r="B28" s="6" t="s">
        <v>25</v>
      </c>
      <c r="C28" s="7" t="s">
        <v>26</v>
      </c>
    </row>
    <row r="30" spans="2:3" ht="13.5" customHeight="1" x14ac:dyDescent="0.45"/>
    <row r="31" spans="2:3" ht="20.25" customHeight="1" x14ac:dyDescent="0.45">
      <c r="B31" s="118" t="s">
        <v>27</v>
      </c>
      <c r="C31" s="118"/>
    </row>
    <row r="33" spans="2:3" ht="34.049999999999997" customHeight="1" x14ac:dyDescent="0.45">
      <c r="B33" s="118" t="s">
        <v>28</v>
      </c>
      <c r="C33" s="118"/>
    </row>
  </sheetData>
  <mergeCells count="6">
    <mergeCell ref="B33:C33"/>
    <mergeCell ref="B2:C2"/>
    <mergeCell ref="B3:C3"/>
    <mergeCell ref="B4:C4"/>
    <mergeCell ref="B5:C5"/>
    <mergeCell ref="B31:C31"/>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28"/>
  <sheetViews>
    <sheetView showGridLines="0" topLeftCell="A8" zoomScaleNormal="100" workbookViewId="0">
      <selection activeCell="E32" sqref="E32"/>
    </sheetView>
  </sheetViews>
  <sheetFormatPr defaultColWidth="8.6640625" defaultRowHeight="14.25" x14ac:dyDescent="0.45"/>
  <cols>
    <col min="1" max="1" width="2" customWidth="1"/>
    <col min="2" max="2" width="30" customWidth="1"/>
    <col min="3" max="3" width="12" customWidth="1"/>
    <col min="4" max="4" width="20.46484375" customWidth="1"/>
    <col min="5" max="5" width="50" customWidth="1"/>
    <col min="6" max="6" width="45" customWidth="1"/>
  </cols>
  <sheetData>
    <row r="1" spans="2:6" ht="24" customHeight="1" x14ac:dyDescent="0.45">
      <c r="B1" s="120" t="s">
        <v>779</v>
      </c>
      <c r="C1" s="120"/>
      <c r="D1" s="120"/>
      <c r="E1" s="120"/>
      <c r="F1" s="120"/>
    </row>
    <row r="3" spans="2:6" ht="25.5" customHeight="1" x14ac:dyDescent="0.45">
      <c r="B3" s="4" t="s">
        <v>780</v>
      </c>
      <c r="C3" s="4" t="s">
        <v>781</v>
      </c>
      <c r="D3" s="4" t="s">
        <v>782</v>
      </c>
      <c r="E3" s="4" t="s">
        <v>783</v>
      </c>
      <c r="F3" s="4" t="s">
        <v>784</v>
      </c>
    </row>
    <row r="4" spans="2:6" ht="15" customHeight="1" x14ac:dyDescent="0.45">
      <c r="B4" s="128" t="s">
        <v>785</v>
      </c>
      <c r="C4" s="128"/>
      <c r="D4" s="128"/>
      <c r="E4" s="128"/>
      <c r="F4" s="128"/>
    </row>
    <row r="5" spans="2:6" ht="60" customHeight="1" x14ac:dyDescent="0.45">
      <c r="B5" s="92" t="s">
        <v>786</v>
      </c>
      <c r="C5" s="112" t="s">
        <v>787</v>
      </c>
      <c r="D5" s="112" t="s">
        <v>788</v>
      </c>
      <c r="E5" s="113" t="s">
        <v>789</v>
      </c>
      <c r="F5" s="113" t="s">
        <v>790</v>
      </c>
    </row>
    <row r="6" spans="2:6" ht="60" customHeight="1" x14ac:dyDescent="0.45">
      <c r="B6" s="92" t="s">
        <v>791</v>
      </c>
      <c r="C6" s="112" t="s">
        <v>792</v>
      </c>
      <c r="D6" s="112" t="s">
        <v>159</v>
      </c>
      <c r="E6" s="113" t="s">
        <v>793</v>
      </c>
      <c r="F6" s="113" t="s">
        <v>794</v>
      </c>
    </row>
    <row r="7" spans="2:6" ht="60" customHeight="1" x14ac:dyDescent="0.45">
      <c r="B7" s="92" t="s">
        <v>795</v>
      </c>
      <c r="C7" s="112" t="s">
        <v>159</v>
      </c>
      <c r="D7" s="112" t="s">
        <v>796</v>
      </c>
      <c r="E7" s="113" t="s">
        <v>797</v>
      </c>
      <c r="F7" s="113" t="s">
        <v>798</v>
      </c>
    </row>
    <row r="8" spans="2:6" ht="60" customHeight="1" x14ac:dyDescent="0.45">
      <c r="B8" s="92" t="s">
        <v>799</v>
      </c>
      <c r="C8" s="112" t="s">
        <v>792</v>
      </c>
      <c r="D8" s="112" t="s">
        <v>159</v>
      </c>
      <c r="E8" s="113" t="s">
        <v>800</v>
      </c>
      <c r="F8" s="113" t="s">
        <v>801</v>
      </c>
    </row>
    <row r="9" spans="2:6" ht="60" customHeight="1" x14ac:dyDescent="0.45">
      <c r="B9" s="92" t="s">
        <v>802</v>
      </c>
      <c r="C9" s="112" t="s">
        <v>803</v>
      </c>
      <c r="D9" s="112" t="s">
        <v>159</v>
      </c>
      <c r="E9" s="113" t="s">
        <v>804</v>
      </c>
      <c r="F9" s="113" t="s">
        <v>805</v>
      </c>
    </row>
    <row r="11" spans="2:6" ht="15" customHeight="1" x14ac:dyDescent="0.45">
      <c r="B11" s="129" t="s">
        <v>806</v>
      </c>
      <c r="C11" s="129"/>
      <c r="D11" s="129"/>
      <c r="E11" s="129"/>
      <c r="F11" s="129"/>
    </row>
    <row r="12" spans="2:6" ht="57.75" customHeight="1" x14ac:dyDescent="0.45">
      <c r="B12" s="3" t="s">
        <v>807</v>
      </c>
      <c r="C12" s="114" t="s">
        <v>165</v>
      </c>
      <c r="D12" s="114" t="s">
        <v>165</v>
      </c>
      <c r="E12" s="1" t="s">
        <v>808</v>
      </c>
      <c r="F12" s="1" t="s">
        <v>809</v>
      </c>
    </row>
    <row r="13" spans="2:6" ht="57.75" customHeight="1" x14ac:dyDescent="0.45">
      <c r="B13" s="3" t="s">
        <v>810</v>
      </c>
      <c r="C13" s="114" t="s">
        <v>159</v>
      </c>
      <c r="D13" s="114" t="s">
        <v>796</v>
      </c>
      <c r="E13" s="1" t="s">
        <v>811</v>
      </c>
      <c r="F13" s="1" t="s">
        <v>812</v>
      </c>
    </row>
    <row r="14" spans="2:6" ht="57.75" customHeight="1" x14ac:dyDescent="0.45">
      <c r="B14" s="3" t="s">
        <v>813</v>
      </c>
      <c r="C14" s="114" t="s">
        <v>792</v>
      </c>
      <c r="D14" s="114" t="s">
        <v>796</v>
      </c>
      <c r="E14" s="1" t="s">
        <v>814</v>
      </c>
      <c r="F14" s="1" t="s">
        <v>815</v>
      </c>
    </row>
    <row r="15" spans="2:6" ht="57.75" customHeight="1" x14ac:dyDescent="0.45">
      <c r="B15" s="3" t="s">
        <v>816</v>
      </c>
      <c r="C15" s="114" t="s">
        <v>197</v>
      </c>
      <c r="D15" s="114" t="s">
        <v>796</v>
      </c>
      <c r="E15" s="1" t="s">
        <v>817</v>
      </c>
      <c r="F15" s="1" t="s">
        <v>818</v>
      </c>
    </row>
    <row r="16" spans="2:6" ht="57.75" customHeight="1" x14ac:dyDescent="0.45">
      <c r="B16" s="3" t="s">
        <v>819</v>
      </c>
      <c r="C16" s="114" t="s">
        <v>197</v>
      </c>
      <c r="D16" s="114" t="s">
        <v>165</v>
      </c>
      <c r="E16" s="1" t="s">
        <v>820</v>
      </c>
      <c r="F16" s="1" t="s">
        <v>821</v>
      </c>
    </row>
    <row r="18" spans="2:6" ht="15" customHeight="1" x14ac:dyDescent="0.45">
      <c r="B18" s="130" t="s">
        <v>822</v>
      </c>
      <c r="C18" s="130"/>
      <c r="D18" s="130"/>
      <c r="E18" s="130"/>
      <c r="F18" s="130"/>
    </row>
    <row r="19" spans="2:6" ht="51.75" customHeight="1" x14ac:dyDescent="0.45">
      <c r="B19" s="87" t="s">
        <v>823</v>
      </c>
      <c r="C19" s="115" t="s">
        <v>197</v>
      </c>
      <c r="D19" s="115" t="s">
        <v>159</v>
      </c>
      <c r="E19" s="116" t="s">
        <v>824</v>
      </c>
      <c r="F19" s="116" t="s">
        <v>825</v>
      </c>
    </row>
    <row r="20" spans="2:6" ht="51.75" customHeight="1" x14ac:dyDescent="0.45">
      <c r="B20" s="87" t="s">
        <v>826</v>
      </c>
      <c r="C20" s="115" t="s">
        <v>827</v>
      </c>
      <c r="D20" s="115" t="s">
        <v>796</v>
      </c>
      <c r="E20" s="116" t="s">
        <v>828</v>
      </c>
      <c r="F20" s="116" t="s">
        <v>829</v>
      </c>
    </row>
    <row r="21" spans="2:6" ht="51.75" customHeight="1" x14ac:dyDescent="0.45">
      <c r="B21" s="87" t="s">
        <v>830</v>
      </c>
      <c r="C21" s="115" t="s">
        <v>197</v>
      </c>
      <c r="D21" s="115" t="s">
        <v>197</v>
      </c>
      <c r="E21" s="116" t="s">
        <v>831</v>
      </c>
      <c r="F21" s="116" t="s">
        <v>832</v>
      </c>
    </row>
    <row r="23" spans="2:6" ht="15" customHeight="1" x14ac:dyDescent="0.45">
      <c r="B23" s="121" t="s">
        <v>833</v>
      </c>
      <c r="C23" s="121"/>
      <c r="D23" s="121"/>
      <c r="E23" s="121"/>
      <c r="F23" s="121"/>
    </row>
    <row r="24" spans="2:6" ht="15" customHeight="1" x14ac:dyDescent="0.45">
      <c r="B24" s="4" t="s">
        <v>834</v>
      </c>
      <c r="C24" s="4" t="s">
        <v>835</v>
      </c>
      <c r="D24" s="4" t="s">
        <v>836</v>
      </c>
      <c r="E24" s="119" t="s">
        <v>837</v>
      </c>
      <c r="F24" s="119"/>
    </row>
    <row r="25" spans="2:6" ht="71" customHeight="1" x14ac:dyDescent="0.45">
      <c r="B25" s="2" t="s">
        <v>838</v>
      </c>
      <c r="C25" s="30" t="s">
        <v>839</v>
      </c>
      <c r="D25" s="5" t="s">
        <v>840</v>
      </c>
      <c r="E25" s="118" t="s">
        <v>841</v>
      </c>
      <c r="F25" s="118"/>
    </row>
    <row r="26" spans="2:6" ht="82.05" customHeight="1" x14ac:dyDescent="0.45">
      <c r="B26" s="2" t="s">
        <v>842</v>
      </c>
      <c r="C26" s="30" t="s">
        <v>843</v>
      </c>
      <c r="D26" s="5" t="s">
        <v>844</v>
      </c>
      <c r="E26" s="118" t="s">
        <v>845</v>
      </c>
      <c r="F26" s="118"/>
    </row>
    <row r="27" spans="2:6" ht="42" customHeight="1" x14ac:dyDescent="0.45">
      <c r="B27" s="2" t="s">
        <v>846</v>
      </c>
      <c r="C27" s="30" t="s">
        <v>847</v>
      </c>
      <c r="D27" s="5" t="s">
        <v>848</v>
      </c>
      <c r="E27" s="118" t="s">
        <v>849</v>
      </c>
      <c r="F27" s="118"/>
    </row>
    <row r="28" spans="2:6" ht="98" customHeight="1" x14ac:dyDescent="0.45">
      <c r="B28" s="2" t="s">
        <v>850</v>
      </c>
      <c r="C28" s="30" t="s">
        <v>851</v>
      </c>
      <c r="D28" s="5" t="s">
        <v>852</v>
      </c>
      <c r="E28" s="118" t="s">
        <v>853</v>
      </c>
      <c r="F28" s="118"/>
    </row>
  </sheetData>
  <mergeCells count="10">
    <mergeCell ref="B1:F1"/>
    <mergeCell ref="B4:F4"/>
    <mergeCell ref="B11:F11"/>
    <mergeCell ref="B18:F18"/>
    <mergeCell ref="B23:F23"/>
    <mergeCell ref="E24:F24"/>
    <mergeCell ref="E25:F25"/>
    <mergeCell ref="E26:F26"/>
    <mergeCell ref="E27:F27"/>
    <mergeCell ref="E28:F28"/>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65"/>
  <sheetViews>
    <sheetView showGridLines="0" zoomScaleNormal="100" workbookViewId="0"/>
  </sheetViews>
  <sheetFormatPr defaultColWidth="8.6640625" defaultRowHeight="14.25" x14ac:dyDescent="0.45"/>
  <cols>
    <col min="1" max="1" width="2" customWidth="1"/>
    <col min="2" max="2" width="38" customWidth="1"/>
    <col min="3" max="3" width="18" customWidth="1"/>
    <col min="4" max="4" width="4" customWidth="1"/>
    <col min="5" max="5" width="90" customWidth="1"/>
  </cols>
  <sheetData>
    <row r="1" spans="2:5" ht="24" customHeight="1" x14ac:dyDescent="0.45">
      <c r="B1" s="120" t="s">
        <v>854</v>
      </c>
      <c r="C1" s="120"/>
      <c r="D1" s="120"/>
      <c r="E1" s="120"/>
    </row>
    <row r="3" spans="2:5" ht="31.5" customHeight="1" x14ac:dyDescent="0.45">
      <c r="B3" s="121" t="s">
        <v>18</v>
      </c>
      <c r="C3" s="121"/>
      <c r="D3" s="121"/>
      <c r="E3" s="121"/>
    </row>
    <row r="4" spans="2:5" ht="49.5" customHeight="1" x14ac:dyDescent="0.45">
      <c r="B4" s="135" t="str">
        <f>Assumptions!C76 &amp; "   |   12-Month Target: " &amp; TEXT(Assumptions!C77,"$#,##0.00") &amp; "   |   Upside: " &amp; TEXT(Assumptions!C78,"0.0%") &amp; "   |   Total Return: " &amp; TEXT(Assumptions!C79,"0.0%")</f>
        <v>HOLD   |   12-Month Target: $45.90   |   Upside: 2.1%   |   Total Return: 5.9%</v>
      </c>
      <c r="C4" s="135"/>
      <c r="D4" s="135"/>
      <c r="E4" s="135"/>
    </row>
    <row r="6" spans="2:5" ht="21.75" customHeight="1" x14ac:dyDescent="0.45">
      <c r="B6" s="121" t="s">
        <v>855</v>
      </c>
      <c r="C6" s="121"/>
      <c r="D6" s="121"/>
      <c r="E6" s="121"/>
    </row>
    <row r="7" spans="2:5" ht="99.75" customHeight="1" x14ac:dyDescent="0.45">
      <c r="B7" s="136" t="str">
        <f>"Novo Nordisk at " &amp; TEXT('Live Market Data'!C5,"$#,##0.00") &amp; " trades at " &amp; TEXT('Live Market Data'!C11,"0.0") &amp; "x trailing P/E and " &amp; TEXT('Live Market Data'!C14,"0.0") &amp; "x EV/EBITDA — both multi-year lows and ~40% discount to peer median. Math-derived 12M target " &amp; TEXT(Assumptions!C77,"$#,##0.00") &amp; " ≈ fair value vs current price (" &amp; TEXT(Assumptions!C78,"0.0%") &amp; " upside before dividends, " &amp; TEXT(Assumptions!C79,"0.0%") &amp; _xlfn._LONGTEXT(" total return). Cheap multiples are JUSTIFIED, not anomalous: ROIC collapsed 88.5% (FY23) → 39.3% (FY25); FY26 guidance -8% adj sales CER; net debt grew DKK 116bn in 12mo; CagriSema impaired by REDEFINE 4 failure; Wegovy WAC -50% Jan 2027. The 4% dividend"," pays you to wait — no compelling catalyst between $44.96 and $46. HOLD: not a value trap, not a bargain, accurately priced.")</f>
        <v>Novo Nordisk at $44.96 trades at 10.6x trailing P/E and 8.1x EV/EBITDA — both multi-year lows and ~40% discount to peer median. Math-derived 12M target $45.90 ≈ fair value vs current price (2.1% upside before dividends, 5.9% total return). Cheap multiples are JUSTIFIED, not anomalous: ROIC collapsed 88.5% (FY23) → 39.3% (FY25); FY26 guidance -8% adj sales CER; net debt grew DKK 116bn in 12mo; CagriSema impaired by REDEFINE 4 failure; Wegovy WAC -50% Jan 2027. The 4% dividend pays you to wait — no compelling catalyst between $44.96 and $46. HOLD: not a value trap, not a bargain, accurately priced.</v>
      </c>
      <c r="C7" s="136"/>
      <c r="D7" s="136"/>
      <c r="E7" s="136"/>
    </row>
    <row r="9" spans="2:5" ht="21.75" customHeight="1" x14ac:dyDescent="0.45">
      <c r="B9" s="121" t="s">
        <v>856</v>
      </c>
      <c r="C9" s="121"/>
      <c r="D9" s="121"/>
      <c r="E9" s="121"/>
    </row>
    <row r="10" spans="2:5" ht="27.75" customHeight="1" x14ac:dyDescent="0.45">
      <c r="B10" s="4" t="s">
        <v>692</v>
      </c>
      <c r="C10" s="4" t="s">
        <v>857</v>
      </c>
      <c r="D10" s="4"/>
      <c r="E10" s="4" t="s">
        <v>858</v>
      </c>
    </row>
    <row r="11" spans="2:5" ht="69.75" customHeight="1" x14ac:dyDescent="0.45">
      <c r="B11" s="87" t="str">
        <f>"BULL CASE — " &amp; TEXT(Assumptions!C37,"0%") &amp; " probability"</f>
        <v>BULL CASE — 20% probability</v>
      </c>
      <c r="C11" s="87" t="str">
        <f>"Target: " &amp; TEXT(Assumptions!C43,"$#,##0.00") &amp; " (" &amp; TEXT(Assumptions!C43/'Live Market Data'!C5-1,"0%") &amp; " upside)"</f>
        <v>Target: $74.32 (65% upside)</v>
      </c>
      <c r="E11" s="116" t="s">
        <v>859</v>
      </c>
    </row>
    <row r="12" spans="2:5" ht="69.75" customHeight="1" x14ac:dyDescent="0.45">
      <c r="B12" s="3" t="str">
        <f>"BASE CASE — " &amp; TEXT(Assumptions!C38,"0%") &amp; " probability"</f>
        <v>BASE CASE — 55% probability</v>
      </c>
      <c r="C12" s="3" t="str">
        <f>"Target: " &amp; TEXT(Assumptions!C44,"$#,##0.00") &amp; " (" &amp; TEXT(Assumptions!C44/'Live Market Data'!C5-1,"0%") &amp; " upside)"</f>
        <v>Target: $48.32 (7% upside)</v>
      </c>
      <c r="E12" s="1" t="s">
        <v>860</v>
      </c>
    </row>
    <row r="13" spans="2:5" ht="69.75" customHeight="1" x14ac:dyDescent="0.45">
      <c r="B13" s="92" t="str">
        <f>"BEAR CASE — " &amp; TEXT(Assumptions!C39,"0%") &amp; " probability"</f>
        <v>BEAR CASE — 25% probability</v>
      </c>
      <c r="C13" s="92" t="str">
        <f>"Target: " &amp; TEXT(Assumptions!C45,"$#,##0.00") &amp; " (" &amp; TEXT(Assumptions!C45/'Live Market Data'!C5-1,"0%") &amp; " downside)"</f>
        <v>Target: $21.43 (-52% downside)</v>
      </c>
      <c r="E13" s="113" t="s">
        <v>861</v>
      </c>
    </row>
    <row r="15" spans="2:5" ht="15" customHeight="1" x14ac:dyDescent="0.45">
      <c r="B15" s="121" t="s">
        <v>862</v>
      </c>
      <c r="C15" s="121"/>
      <c r="D15" s="121"/>
      <c r="E15" s="121"/>
    </row>
    <row r="16" spans="2:5" ht="25.5" customHeight="1" x14ac:dyDescent="0.45">
      <c r="B16" s="134" t="s">
        <v>863</v>
      </c>
      <c r="C16" s="134"/>
      <c r="D16" s="134"/>
      <c r="E16" s="134"/>
    </row>
    <row r="17" spans="2:5" ht="129.75" customHeight="1" x14ac:dyDescent="0.45">
      <c r="B17" s="118" t="s">
        <v>864</v>
      </c>
      <c r="C17" s="118"/>
      <c r="D17" s="118"/>
      <c r="E17" s="118"/>
    </row>
    <row r="19" spans="2:5" ht="15" customHeight="1" x14ac:dyDescent="0.45">
      <c r="B19" s="121" t="s">
        <v>865</v>
      </c>
      <c r="C19" s="121"/>
      <c r="D19" s="121"/>
      <c r="E19" s="121"/>
    </row>
    <row r="20" spans="2:5" ht="25.5" customHeight="1" x14ac:dyDescent="0.45">
      <c r="B20" s="4" t="s">
        <v>31</v>
      </c>
      <c r="C20" s="119" t="s">
        <v>866</v>
      </c>
      <c r="D20" s="119"/>
      <c r="E20" s="4" t="s">
        <v>867</v>
      </c>
    </row>
    <row r="21" spans="2:5" ht="60" customHeight="1" x14ac:dyDescent="0.45">
      <c r="B21" s="2" t="s">
        <v>868</v>
      </c>
      <c r="C21" s="133" t="s">
        <v>869</v>
      </c>
      <c r="D21" s="133"/>
      <c r="E21" s="5" t="s">
        <v>870</v>
      </c>
    </row>
    <row r="22" spans="2:5" ht="60" customHeight="1" x14ac:dyDescent="0.45">
      <c r="B22" s="2" t="s">
        <v>871</v>
      </c>
      <c r="C22" s="133" t="s">
        <v>872</v>
      </c>
      <c r="D22" s="133"/>
      <c r="E22" s="5" t="s">
        <v>873</v>
      </c>
    </row>
    <row r="23" spans="2:5" ht="60" customHeight="1" x14ac:dyDescent="0.45">
      <c r="B23" s="2" t="s">
        <v>874</v>
      </c>
      <c r="C23" s="133" t="s">
        <v>875</v>
      </c>
      <c r="D23" s="133"/>
      <c r="E23" s="5" t="s">
        <v>876</v>
      </c>
    </row>
    <row r="25" spans="2:5" ht="15" customHeight="1" x14ac:dyDescent="0.45">
      <c r="B25" s="121" t="s">
        <v>877</v>
      </c>
      <c r="C25" s="121"/>
      <c r="D25" s="121"/>
      <c r="E25" s="121"/>
    </row>
    <row r="26" spans="2:5" ht="15" customHeight="1" x14ac:dyDescent="0.45">
      <c r="B26" s="125" t="s">
        <v>878</v>
      </c>
      <c r="C26" s="125"/>
      <c r="D26" s="125"/>
      <c r="E26" s="125"/>
    </row>
    <row r="27" spans="2:5" ht="21.75" customHeight="1" x14ac:dyDescent="0.45">
      <c r="B27" s="4" t="s">
        <v>31</v>
      </c>
      <c r="C27" s="4" t="s">
        <v>879</v>
      </c>
      <c r="D27" s="4" t="s">
        <v>880</v>
      </c>
      <c r="E27" s="4" t="s">
        <v>881</v>
      </c>
    </row>
    <row r="28" spans="2:5" ht="15" customHeight="1" x14ac:dyDescent="0.45">
      <c r="B28" s="2" t="s">
        <v>882</v>
      </c>
      <c r="C28" s="33" t="s">
        <v>883</v>
      </c>
      <c r="D28" s="33" t="s">
        <v>884</v>
      </c>
      <c r="E28" s="5" t="s">
        <v>885</v>
      </c>
    </row>
    <row r="29" spans="2:5" ht="15" customHeight="1" x14ac:dyDescent="0.45">
      <c r="B29" s="2" t="s">
        <v>663</v>
      </c>
      <c r="C29" s="33" t="s">
        <v>886</v>
      </c>
      <c r="D29" s="33" t="s">
        <v>887</v>
      </c>
      <c r="E29" s="5" t="s">
        <v>888</v>
      </c>
    </row>
    <row r="30" spans="2:5" ht="15" customHeight="1" x14ac:dyDescent="0.45">
      <c r="B30" s="2" t="s">
        <v>889</v>
      </c>
      <c r="C30" s="33" t="s">
        <v>890</v>
      </c>
      <c r="D30" s="33" t="s">
        <v>891</v>
      </c>
      <c r="E30" s="5" t="s">
        <v>892</v>
      </c>
    </row>
    <row r="31" spans="2:5" ht="15" customHeight="1" x14ac:dyDescent="0.45">
      <c r="B31" s="2" t="s">
        <v>893</v>
      </c>
      <c r="C31" s="33" t="s">
        <v>894</v>
      </c>
      <c r="D31" s="33" t="s">
        <v>895</v>
      </c>
      <c r="E31" s="5" t="s">
        <v>896</v>
      </c>
    </row>
    <row r="32" spans="2:5" ht="15" customHeight="1" x14ac:dyDescent="0.45">
      <c r="B32" s="2" t="s">
        <v>897</v>
      </c>
      <c r="C32" s="33" t="s">
        <v>898</v>
      </c>
      <c r="D32" s="33" t="s">
        <v>899</v>
      </c>
      <c r="E32" s="5" t="s">
        <v>900</v>
      </c>
    </row>
    <row r="33" spans="2:5" ht="15" customHeight="1" x14ac:dyDescent="0.45">
      <c r="B33" s="2" t="s">
        <v>901</v>
      </c>
      <c r="C33" s="33" t="s">
        <v>902</v>
      </c>
      <c r="D33" s="33" t="s">
        <v>903</v>
      </c>
      <c r="E33" s="5" t="s">
        <v>904</v>
      </c>
    </row>
    <row r="34" spans="2:5" ht="15" customHeight="1" x14ac:dyDescent="0.45">
      <c r="B34" s="2" t="s">
        <v>905</v>
      </c>
      <c r="C34" s="33" t="s">
        <v>906</v>
      </c>
      <c r="D34" s="33" t="s">
        <v>907</v>
      </c>
      <c r="E34" s="5" t="s">
        <v>908</v>
      </c>
    </row>
    <row r="35" spans="2:5" ht="15" customHeight="1" x14ac:dyDescent="0.45">
      <c r="B35" s="2" t="s">
        <v>909</v>
      </c>
      <c r="C35" s="33" t="s">
        <v>163</v>
      </c>
      <c r="D35" s="33" t="s">
        <v>910</v>
      </c>
      <c r="E35" s="5" t="s">
        <v>911</v>
      </c>
    </row>
    <row r="37" spans="2:5" ht="15" customHeight="1" x14ac:dyDescent="0.45">
      <c r="B37" s="125" t="s">
        <v>912</v>
      </c>
      <c r="C37" s="125"/>
      <c r="D37" s="125"/>
      <c r="E37" s="125"/>
    </row>
    <row r="38" spans="2:5" ht="69.75" customHeight="1" x14ac:dyDescent="0.45">
      <c r="B38" s="118" t="s">
        <v>913</v>
      </c>
      <c r="C38" s="118"/>
      <c r="D38" s="118"/>
      <c r="E38" s="118"/>
    </row>
    <row r="40" spans="2:5" ht="15" customHeight="1" x14ac:dyDescent="0.45">
      <c r="B40" s="121" t="s">
        <v>914</v>
      </c>
      <c r="C40" s="121"/>
      <c r="D40" s="121"/>
      <c r="E40" s="121"/>
    </row>
    <row r="41" spans="2:5" ht="15" customHeight="1" x14ac:dyDescent="0.45">
      <c r="B41" s="132" t="s">
        <v>915</v>
      </c>
      <c r="C41" s="132"/>
      <c r="D41" s="132"/>
      <c r="E41" s="132"/>
    </row>
    <row r="42" spans="2:5" ht="55.5" customHeight="1" x14ac:dyDescent="0.45">
      <c r="B42" s="118" t="s">
        <v>916</v>
      </c>
      <c r="C42" s="118"/>
      <c r="D42" s="118"/>
      <c r="E42" s="118"/>
    </row>
    <row r="43" spans="2:5" ht="55.5" customHeight="1" x14ac:dyDescent="0.45">
      <c r="B43" s="118" t="s">
        <v>917</v>
      </c>
      <c r="C43" s="118"/>
      <c r="D43" s="118"/>
      <c r="E43" s="118"/>
    </row>
    <row r="44" spans="2:5" ht="55.5" customHeight="1" x14ac:dyDescent="0.45">
      <c r="B44" s="118" t="s">
        <v>918</v>
      </c>
      <c r="C44" s="118"/>
      <c r="D44" s="118"/>
      <c r="E44" s="118"/>
    </row>
    <row r="45" spans="2:5" ht="55.5" customHeight="1" x14ac:dyDescent="0.45">
      <c r="B45" s="118" t="s">
        <v>919</v>
      </c>
      <c r="C45" s="118"/>
      <c r="D45" s="118"/>
      <c r="E45" s="118"/>
    </row>
    <row r="46" spans="2:5" ht="55.5" customHeight="1" x14ac:dyDescent="0.45">
      <c r="B46" s="118" t="s">
        <v>920</v>
      </c>
      <c r="C46" s="118"/>
      <c r="D46" s="118"/>
      <c r="E46" s="118"/>
    </row>
    <row r="48" spans="2:5" ht="15" customHeight="1" x14ac:dyDescent="0.45">
      <c r="B48" s="132" t="s">
        <v>921</v>
      </c>
      <c r="C48" s="132"/>
      <c r="D48" s="132"/>
      <c r="E48" s="132"/>
    </row>
    <row r="49" spans="2:5" ht="51.75" customHeight="1" x14ac:dyDescent="0.45">
      <c r="B49" s="118" t="s">
        <v>922</v>
      </c>
      <c r="C49" s="118"/>
      <c r="D49" s="118"/>
      <c r="E49" s="118"/>
    </row>
    <row r="50" spans="2:5" ht="51.75" customHeight="1" x14ac:dyDescent="0.45">
      <c r="B50" s="118" t="s">
        <v>923</v>
      </c>
      <c r="C50" s="118"/>
      <c r="D50" s="118"/>
      <c r="E50" s="118"/>
    </row>
    <row r="51" spans="2:5" ht="51.75" customHeight="1" x14ac:dyDescent="0.45">
      <c r="B51" s="118" t="s">
        <v>924</v>
      </c>
      <c r="C51" s="118"/>
      <c r="D51" s="118"/>
      <c r="E51" s="118"/>
    </row>
    <row r="52" spans="2:5" ht="51.75" customHeight="1" x14ac:dyDescent="0.45">
      <c r="B52" s="118" t="s">
        <v>925</v>
      </c>
      <c r="C52" s="118"/>
      <c r="D52" s="118"/>
      <c r="E52" s="118"/>
    </row>
    <row r="53" spans="2:5" ht="51.75" customHeight="1" x14ac:dyDescent="0.45">
      <c r="B53" s="118" t="s">
        <v>926</v>
      </c>
      <c r="C53" s="118"/>
      <c r="D53" s="118"/>
      <c r="E53" s="118"/>
    </row>
    <row r="55" spans="2:5" ht="15" customHeight="1" x14ac:dyDescent="0.45">
      <c r="B55" s="121" t="s">
        <v>927</v>
      </c>
      <c r="C55" s="121"/>
      <c r="D55" s="121"/>
      <c r="E55" s="121"/>
    </row>
    <row r="56" spans="2:5" ht="55.5" customHeight="1" x14ac:dyDescent="0.45">
      <c r="B56" s="118" t="s">
        <v>928</v>
      </c>
      <c r="C56" s="118"/>
      <c r="D56" s="118"/>
      <c r="E56" s="118"/>
    </row>
    <row r="57" spans="2:5" ht="15" customHeight="1" x14ac:dyDescent="0.45">
      <c r="B57" s="4" t="s">
        <v>929</v>
      </c>
      <c r="C57" s="119" t="s">
        <v>837</v>
      </c>
      <c r="D57" s="119"/>
      <c r="E57" s="4" t="s">
        <v>930</v>
      </c>
    </row>
    <row r="58" spans="2:5" ht="55.5" customHeight="1" x14ac:dyDescent="0.45">
      <c r="B58" s="2" t="s">
        <v>931</v>
      </c>
      <c r="C58" s="131" t="s">
        <v>932</v>
      </c>
      <c r="D58" s="131"/>
      <c r="E58" s="5" t="s">
        <v>933</v>
      </c>
    </row>
    <row r="59" spans="2:5" ht="55.5" customHeight="1" x14ac:dyDescent="0.45">
      <c r="B59" s="2" t="s">
        <v>934</v>
      </c>
      <c r="C59" s="131" t="s">
        <v>935</v>
      </c>
      <c r="D59" s="131"/>
      <c r="E59" s="5" t="s">
        <v>936</v>
      </c>
    </row>
    <row r="60" spans="2:5" ht="55.5" customHeight="1" x14ac:dyDescent="0.45">
      <c r="B60" s="2" t="s">
        <v>937</v>
      </c>
      <c r="C60" s="131" t="s">
        <v>938</v>
      </c>
      <c r="D60" s="131"/>
      <c r="E60" s="5" t="s">
        <v>939</v>
      </c>
    </row>
    <row r="61" spans="2:5" ht="55.5" customHeight="1" x14ac:dyDescent="0.45">
      <c r="B61" s="2" t="s">
        <v>940</v>
      </c>
      <c r="C61" s="131" t="s">
        <v>941</v>
      </c>
      <c r="D61" s="131"/>
      <c r="E61" s="5" t="s">
        <v>942</v>
      </c>
    </row>
    <row r="62" spans="2:5" ht="55.5" customHeight="1" x14ac:dyDescent="0.45">
      <c r="B62" s="2" t="s">
        <v>943</v>
      </c>
      <c r="C62" s="131" t="s">
        <v>944</v>
      </c>
      <c r="D62" s="131"/>
      <c r="E62" s="5" t="s">
        <v>945</v>
      </c>
    </row>
    <row r="64" spans="2:5" ht="15" customHeight="1" x14ac:dyDescent="0.45">
      <c r="B64" s="121" t="s">
        <v>946</v>
      </c>
      <c r="C64" s="121"/>
      <c r="D64" s="121"/>
      <c r="E64" s="121"/>
    </row>
    <row r="65" spans="2:5" ht="39.75" customHeight="1" x14ac:dyDescent="0.45">
      <c r="B65" s="118" t="s">
        <v>947</v>
      </c>
      <c r="C65" s="118"/>
      <c r="D65" s="118"/>
      <c r="E65" s="118"/>
    </row>
  </sheetData>
  <mergeCells count="41">
    <mergeCell ref="B1:E1"/>
    <mergeCell ref="B3:E3"/>
    <mergeCell ref="B4:E4"/>
    <mergeCell ref="B6:E6"/>
    <mergeCell ref="B7:E7"/>
    <mergeCell ref="B9:E9"/>
    <mergeCell ref="B15:E15"/>
    <mergeCell ref="B16:E16"/>
    <mergeCell ref="B17:E17"/>
    <mergeCell ref="B19:E19"/>
    <mergeCell ref="C20:D20"/>
    <mergeCell ref="C21:D21"/>
    <mergeCell ref="C22:D22"/>
    <mergeCell ref="C23:D23"/>
    <mergeCell ref="B25:E25"/>
    <mergeCell ref="B26:E26"/>
    <mergeCell ref="B37:E37"/>
    <mergeCell ref="B38:E38"/>
    <mergeCell ref="B40:E40"/>
    <mergeCell ref="B41:E41"/>
    <mergeCell ref="B42:E42"/>
    <mergeCell ref="B43:E43"/>
    <mergeCell ref="B44:E44"/>
    <mergeCell ref="B45:E45"/>
    <mergeCell ref="B46:E46"/>
    <mergeCell ref="B48:E48"/>
    <mergeCell ref="B49:E49"/>
    <mergeCell ref="B50:E50"/>
    <mergeCell ref="B51:E51"/>
    <mergeCell ref="B52:E52"/>
    <mergeCell ref="B53:E53"/>
    <mergeCell ref="B55:E55"/>
    <mergeCell ref="B56:E56"/>
    <mergeCell ref="C57:D57"/>
    <mergeCell ref="C58:D58"/>
    <mergeCell ref="B65:E65"/>
    <mergeCell ref="C59:D59"/>
    <mergeCell ref="C60:D60"/>
    <mergeCell ref="C61:D61"/>
    <mergeCell ref="C62:D62"/>
    <mergeCell ref="B64:E6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4"/>
  <sheetViews>
    <sheetView showGridLines="0" topLeftCell="A15" zoomScale="109" zoomScaleNormal="100" workbookViewId="0">
      <selection activeCell="C20" sqref="C20"/>
    </sheetView>
  </sheetViews>
  <sheetFormatPr defaultColWidth="8.6640625" defaultRowHeight="14.25" x14ac:dyDescent="0.45"/>
  <cols>
    <col min="1" max="1" width="2" customWidth="1"/>
    <col min="2" max="2" width="52" customWidth="1"/>
    <col min="3" max="3" width="18" customWidth="1"/>
    <col min="4" max="4" width="16" customWidth="1"/>
    <col min="5" max="5" width="38" customWidth="1"/>
    <col min="6" max="6" width="62" customWidth="1"/>
  </cols>
  <sheetData>
    <row r="1" spans="2:6" ht="24" customHeight="1" x14ac:dyDescent="0.45">
      <c r="B1" s="120" t="s">
        <v>29</v>
      </c>
      <c r="C1" s="120"/>
      <c r="D1" s="120"/>
      <c r="E1" s="120"/>
      <c r="F1" s="120"/>
    </row>
    <row r="2" spans="2:6" ht="31.5" customHeight="1" x14ac:dyDescent="0.45">
      <c r="B2" s="118" t="s">
        <v>30</v>
      </c>
      <c r="C2" s="118"/>
      <c r="D2" s="118"/>
      <c r="E2" s="118"/>
      <c r="F2" s="118"/>
    </row>
    <row r="3" spans="2:6" ht="21.75" customHeight="1" x14ac:dyDescent="0.45">
      <c r="B3" s="14" t="s">
        <v>31</v>
      </c>
      <c r="C3" s="14" t="s">
        <v>32</v>
      </c>
      <c r="D3" s="14" t="s">
        <v>33</v>
      </c>
      <c r="E3" s="14" t="s">
        <v>34</v>
      </c>
      <c r="F3" s="14" t="s">
        <v>35</v>
      </c>
    </row>
    <row r="4" spans="2:6" ht="15" customHeight="1" x14ac:dyDescent="0.45">
      <c r="B4" s="121" t="s">
        <v>36</v>
      </c>
      <c r="C4" s="121"/>
      <c r="D4" s="121"/>
      <c r="E4" s="121"/>
      <c r="F4" s="121"/>
    </row>
    <row r="5" spans="2:6" ht="20.25" customHeight="1" x14ac:dyDescent="0.45">
      <c r="B5" s="2" t="s">
        <v>37</v>
      </c>
      <c r="C5" s="15">
        <v>44.96</v>
      </c>
      <c r="D5" s="16" t="s">
        <v>38</v>
      </c>
      <c r="E5" s="16" t="s">
        <v>39</v>
      </c>
      <c r="F5" s="5" t="s">
        <v>40</v>
      </c>
    </row>
    <row r="6" spans="2:6" ht="15" customHeight="1" x14ac:dyDescent="0.45">
      <c r="B6" s="2" t="s">
        <v>41</v>
      </c>
      <c r="C6" s="17">
        <v>4435</v>
      </c>
      <c r="D6" s="16" t="s">
        <v>42</v>
      </c>
      <c r="E6" s="16" t="s">
        <v>43</v>
      </c>
      <c r="F6" s="5" t="s">
        <v>44</v>
      </c>
    </row>
    <row r="7" spans="2:6" ht="20.25" customHeight="1" x14ac:dyDescent="0.45">
      <c r="B7" s="2" t="s">
        <v>45</v>
      </c>
      <c r="C7" s="18">
        <f>C5*C6</f>
        <v>199397.6</v>
      </c>
      <c r="D7" s="16" t="s">
        <v>46</v>
      </c>
      <c r="E7" s="16" t="s">
        <v>47</v>
      </c>
      <c r="F7" s="5" t="s">
        <v>48</v>
      </c>
    </row>
    <row r="8" spans="2:6" ht="15" customHeight="1" x14ac:dyDescent="0.45">
      <c r="B8" s="2" t="s">
        <v>49</v>
      </c>
      <c r="C8" s="18">
        <f>C7+C9</f>
        <v>216494.79764011799</v>
      </c>
      <c r="D8" s="16" t="s">
        <v>46</v>
      </c>
      <c r="E8" s="16" t="s">
        <v>50</v>
      </c>
      <c r="F8" s="5" t="s">
        <v>51</v>
      </c>
    </row>
    <row r="9" spans="2:6" ht="20.25" customHeight="1" x14ac:dyDescent="0.45">
      <c r="B9" s="2" t="s">
        <v>52</v>
      </c>
      <c r="C9" s="18">
        <f>115919/C25</f>
        <v>17097.197640117993</v>
      </c>
      <c r="D9" s="16" t="s">
        <v>46</v>
      </c>
      <c r="E9" s="16" t="s">
        <v>53</v>
      </c>
      <c r="F9" s="5" t="s">
        <v>54</v>
      </c>
    </row>
    <row r="10" spans="2:6" ht="13.5" customHeight="1" x14ac:dyDescent="0.45">
      <c r="B10" s="121" t="s">
        <v>55</v>
      </c>
      <c r="C10" s="121"/>
      <c r="D10" s="121"/>
      <c r="E10" s="121"/>
      <c r="F10" s="121"/>
    </row>
    <row r="11" spans="2:6" ht="20.25" customHeight="1" x14ac:dyDescent="0.45">
      <c r="B11" s="16" t="s">
        <v>56</v>
      </c>
      <c r="C11" s="19">
        <v>10.55</v>
      </c>
      <c r="D11" s="16" t="s">
        <v>57</v>
      </c>
      <c r="E11" s="16" t="s">
        <v>39</v>
      </c>
      <c r="F11" s="5" t="s">
        <v>58</v>
      </c>
    </row>
    <row r="12" spans="2:6" ht="20.25" customHeight="1" x14ac:dyDescent="0.45">
      <c r="B12" s="16" t="s">
        <v>59</v>
      </c>
      <c r="C12" s="19">
        <v>13.4</v>
      </c>
      <c r="D12" s="16" t="s">
        <v>60</v>
      </c>
      <c r="E12" s="16" t="s">
        <v>61</v>
      </c>
      <c r="F12" s="5" t="s">
        <v>62</v>
      </c>
    </row>
    <row r="13" spans="2:6" ht="20.25" customHeight="1" x14ac:dyDescent="0.45">
      <c r="B13" s="16" t="s">
        <v>63</v>
      </c>
      <c r="C13" s="20">
        <f>C5/C12</f>
        <v>3.3552238805970149</v>
      </c>
      <c r="D13" s="16" t="s">
        <v>38</v>
      </c>
      <c r="E13" s="16" t="s">
        <v>64</v>
      </c>
      <c r="F13" s="5" t="s">
        <v>65</v>
      </c>
    </row>
    <row r="14" spans="2:6" ht="15" customHeight="1" x14ac:dyDescent="0.45">
      <c r="B14" s="16" t="s">
        <v>15</v>
      </c>
      <c r="C14" s="19">
        <v>8.14</v>
      </c>
      <c r="D14" s="16" t="s">
        <v>66</v>
      </c>
      <c r="E14" s="16" t="s">
        <v>67</v>
      </c>
      <c r="F14" s="5" t="s">
        <v>68</v>
      </c>
    </row>
    <row r="15" spans="2:6" ht="15" customHeight="1" x14ac:dyDescent="0.45">
      <c r="B15" s="16" t="s">
        <v>69</v>
      </c>
      <c r="C15" s="19">
        <v>4.32</v>
      </c>
      <c r="D15" s="16" t="s">
        <v>70</v>
      </c>
      <c r="E15" s="16" t="s">
        <v>67</v>
      </c>
      <c r="F15" s="5" t="s">
        <v>71</v>
      </c>
    </row>
    <row r="16" spans="2:6" ht="15" customHeight="1" x14ac:dyDescent="0.45">
      <c r="B16" s="16" t="s">
        <v>72</v>
      </c>
      <c r="C16" s="19">
        <v>23.3</v>
      </c>
      <c r="D16" s="16" t="s">
        <v>73</v>
      </c>
      <c r="E16" s="16" t="s">
        <v>67</v>
      </c>
      <c r="F16" s="5" t="s">
        <v>74</v>
      </c>
    </row>
    <row r="17" spans="2:6" ht="20.25" customHeight="1" x14ac:dyDescent="0.45">
      <c r="B17" s="2" t="s">
        <v>75</v>
      </c>
      <c r="C17" s="21">
        <f>C18/C5</f>
        <v>3.8382200107076492E-2</v>
      </c>
      <c r="D17" s="16" t="s">
        <v>76</v>
      </c>
      <c r="E17" s="16" t="s">
        <v>77</v>
      </c>
      <c r="F17" s="5" t="s">
        <v>78</v>
      </c>
    </row>
    <row r="18" spans="2:6" ht="20.25" customHeight="1" x14ac:dyDescent="0.45">
      <c r="B18" s="16" t="s">
        <v>79</v>
      </c>
      <c r="C18" s="20">
        <f>11.7/C25</f>
        <v>1.7256637168141591</v>
      </c>
      <c r="D18" s="16" t="s">
        <v>38</v>
      </c>
      <c r="E18" s="16" t="s">
        <v>80</v>
      </c>
      <c r="F18" s="5" t="s">
        <v>81</v>
      </c>
    </row>
    <row r="19" spans="2:6" ht="20.25" customHeight="1" x14ac:dyDescent="0.45">
      <c r="B19" s="16" t="s">
        <v>82</v>
      </c>
      <c r="C19" s="22">
        <v>-0.22109999999999999</v>
      </c>
      <c r="D19" s="16" t="s">
        <v>76</v>
      </c>
      <c r="E19" s="16" t="s">
        <v>83</v>
      </c>
      <c r="F19" s="5" t="s">
        <v>84</v>
      </c>
    </row>
    <row r="20" spans="2:6" ht="20.25" customHeight="1" x14ac:dyDescent="0.45">
      <c r="B20" s="16" t="s">
        <v>85</v>
      </c>
      <c r="C20" s="23">
        <f>C5/137.4-1</f>
        <v>-0.6727802037845706</v>
      </c>
      <c r="D20" s="16" t="s">
        <v>76</v>
      </c>
      <c r="E20" s="16" t="s">
        <v>86</v>
      </c>
      <c r="F20" s="5" t="s">
        <v>87</v>
      </c>
    </row>
    <row r="21" spans="2:6" ht="15" customHeight="1" x14ac:dyDescent="0.45">
      <c r="B21" s="16" t="s">
        <v>88</v>
      </c>
      <c r="C21" s="24">
        <v>35.119999999999997</v>
      </c>
      <c r="D21" s="16" t="s">
        <v>38</v>
      </c>
      <c r="E21" s="16" t="s">
        <v>89</v>
      </c>
      <c r="F21" s="5" t="s">
        <v>90</v>
      </c>
    </row>
    <row r="22" spans="2:6" ht="15" customHeight="1" x14ac:dyDescent="0.45">
      <c r="B22" s="16" t="s">
        <v>91</v>
      </c>
      <c r="C22" s="24">
        <v>81.44</v>
      </c>
      <c r="D22" s="16" t="s">
        <v>38</v>
      </c>
      <c r="E22" s="16" t="s">
        <v>89</v>
      </c>
      <c r="F22" s="5" t="s">
        <v>92</v>
      </c>
    </row>
    <row r="23" spans="2:6" ht="20.25" customHeight="1" x14ac:dyDescent="0.45">
      <c r="B23" s="16" t="s">
        <v>93</v>
      </c>
      <c r="C23" s="24">
        <v>46.72</v>
      </c>
      <c r="D23" s="16" t="s">
        <v>38</v>
      </c>
      <c r="E23" s="16" t="s">
        <v>94</v>
      </c>
      <c r="F23" s="5" t="s">
        <v>95</v>
      </c>
    </row>
    <row r="24" spans="2:6" ht="20.25" customHeight="1" x14ac:dyDescent="0.45">
      <c r="B24" s="16" t="s">
        <v>96</v>
      </c>
      <c r="C24" s="25">
        <v>2.9000000000000001E-2</v>
      </c>
      <c r="D24" s="16" t="s">
        <v>76</v>
      </c>
      <c r="E24" s="16" t="s">
        <v>97</v>
      </c>
      <c r="F24" s="5" t="s">
        <v>98</v>
      </c>
    </row>
    <row r="25" spans="2:6" ht="20.25" customHeight="1" x14ac:dyDescent="0.45">
      <c r="B25" s="16" t="s">
        <v>99</v>
      </c>
      <c r="C25" s="26">
        <v>6.78</v>
      </c>
      <c r="D25" s="16" t="s">
        <v>100</v>
      </c>
      <c r="E25" s="16" t="s">
        <v>101</v>
      </c>
      <c r="F25" s="5" t="s">
        <v>102</v>
      </c>
    </row>
    <row r="26" spans="2:6" ht="13.5" customHeight="1" x14ac:dyDescent="0.45"/>
    <row r="27" spans="2:6" ht="15" customHeight="1" x14ac:dyDescent="0.45">
      <c r="B27" s="121" t="s">
        <v>103</v>
      </c>
      <c r="C27" s="121"/>
      <c r="D27" s="121"/>
      <c r="E27" s="121"/>
      <c r="F27" s="121"/>
    </row>
    <row r="28" spans="2:6" ht="20.25" customHeight="1" x14ac:dyDescent="0.45">
      <c r="B28" s="16" t="s">
        <v>104</v>
      </c>
      <c r="C28" s="27" t="s">
        <v>105</v>
      </c>
      <c r="D28" s="16"/>
      <c r="E28" s="16" t="s">
        <v>106</v>
      </c>
      <c r="F28" s="5" t="s">
        <v>107</v>
      </c>
    </row>
    <row r="29" spans="2:6" ht="15" customHeight="1" x14ac:dyDescent="0.45">
      <c r="B29" s="16" t="s">
        <v>108</v>
      </c>
      <c r="C29" s="27" t="s">
        <v>109</v>
      </c>
      <c r="D29" s="16"/>
      <c r="E29" s="16" t="s">
        <v>110</v>
      </c>
      <c r="F29" s="5" t="s">
        <v>111</v>
      </c>
    </row>
    <row r="30" spans="2:6" ht="15" customHeight="1" x14ac:dyDescent="0.45">
      <c r="B30" s="16" t="s">
        <v>112</v>
      </c>
      <c r="C30" s="27" t="s">
        <v>113</v>
      </c>
      <c r="D30" s="16"/>
      <c r="E30" s="16" t="s">
        <v>110</v>
      </c>
      <c r="F30" s="5" t="s">
        <v>114</v>
      </c>
    </row>
    <row r="31" spans="2:6" ht="15" customHeight="1" x14ac:dyDescent="0.45">
      <c r="B31" s="16" t="s">
        <v>115</v>
      </c>
      <c r="C31" s="27" t="s">
        <v>116</v>
      </c>
      <c r="D31" s="16"/>
      <c r="E31" s="16" t="s">
        <v>117</v>
      </c>
      <c r="F31" s="5" t="s">
        <v>118</v>
      </c>
    </row>
    <row r="32" spans="2:6" ht="20.25" customHeight="1" x14ac:dyDescent="0.45">
      <c r="B32" s="16" t="s">
        <v>119</v>
      </c>
      <c r="C32" s="23">
        <f>C23/C5-1</f>
        <v>3.9145907473309594E-2</v>
      </c>
      <c r="D32" s="16" t="s">
        <v>76</v>
      </c>
      <c r="E32" s="16" t="s">
        <v>120</v>
      </c>
      <c r="F32" s="5" t="s">
        <v>121</v>
      </c>
    </row>
    <row r="33" spans="2:6" ht="13.5" customHeight="1" x14ac:dyDescent="0.45"/>
    <row r="34" spans="2:6" ht="15" customHeight="1" x14ac:dyDescent="0.45">
      <c r="B34" s="121" t="s">
        <v>122</v>
      </c>
      <c r="C34" s="121"/>
      <c r="D34" s="121"/>
      <c r="E34" s="121"/>
      <c r="F34" s="121"/>
    </row>
    <row r="35" spans="2:6" ht="20.25" customHeight="1" x14ac:dyDescent="0.45">
      <c r="B35" s="16" t="s">
        <v>123</v>
      </c>
      <c r="C35" s="28">
        <v>96823</v>
      </c>
      <c r="D35" s="16" t="s">
        <v>124</v>
      </c>
      <c r="E35" s="16" t="s">
        <v>125</v>
      </c>
      <c r="F35" s="5" t="s">
        <v>126</v>
      </c>
    </row>
    <row r="36" spans="2:6" ht="20.25" customHeight="1" x14ac:dyDescent="0.45">
      <c r="B36" s="16" t="s">
        <v>127</v>
      </c>
      <c r="C36" s="28">
        <v>70063</v>
      </c>
      <c r="D36" s="16" t="s">
        <v>124</v>
      </c>
      <c r="E36" s="16" t="s">
        <v>125</v>
      </c>
      <c r="F36" s="5" t="s">
        <v>128</v>
      </c>
    </row>
    <row r="37" spans="2:6" ht="15" customHeight="1" x14ac:dyDescent="0.45">
      <c r="B37" s="16" t="s">
        <v>129</v>
      </c>
      <c r="C37" s="28">
        <v>32858</v>
      </c>
      <c r="D37" s="16" t="s">
        <v>124</v>
      </c>
      <c r="E37" s="16" t="s">
        <v>125</v>
      </c>
      <c r="F37" s="5" t="s">
        <v>130</v>
      </c>
    </row>
    <row r="38" spans="2:6" ht="20.25" customHeight="1" x14ac:dyDescent="0.45">
      <c r="B38" s="16" t="s">
        <v>131</v>
      </c>
      <c r="C38" s="28">
        <v>2256</v>
      </c>
      <c r="D38" s="16" t="s">
        <v>124</v>
      </c>
      <c r="E38" s="16" t="s">
        <v>125</v>
      </c>
      <c r="F38" s="5" t="s">
        <v>132</v>
      </c>
    </row>
    <row r="39" spans="2:6" ht="15" customHeight="1" x14ac:dyDescent="0.45">
      <c r="B39" s="16" t="s">
        <v>133</v>
      </c>
      <c r="C39" s="28">
        <v>18235</v>
      </c>
      <c r="D39" s="16" t="s">
        <v>124</v>
      </c>
      <c r="E39" s="16" t="s">
        <v>125</v>
      </c>
      <c r="F39" s="5" t="s">
        <v>134</v>
      </c>
    </row>
    <row r="40" spans="2:6" ht="15" customHeight="1" x14ac:dyDescent="0.45">
      <c r="B40" s="16" t="s">
        <v>135</v>
      </c>
      <c r="C40" s="28">
        <v>27825</v>
      </c>
      <c r="D40" s="16" t="s">
        <v>124</v>
      </c>
      <c r="E40" s="16" t="s">
        <v>125</v>
      </c>
      <c r="F40" s="5" t="s">
        <v>136</v>
      </c>
    </row>
    <row r="41" spans="2:6" ht="20.25" customHeight="1" x14ac:dyDescent="0.45">
      <c r="B41" s="16" t="s">
        <v>137</v>
      </c>
      <c r="C41" s="27" t="s">
        <v>138</v>
      </c>
      <c r="D41" s="16"/>
      <c r="E41" s="16" t="s">
        <v>139</v>
      </c>
      <c r="F41" s="5" t="s">
        <v>140</v>
      </c>
    </row>
    <row r="42" spans="2:6" ht="15" customHeight="1" x14ac:dyDescent="0.45">
      <c r="B42" s="16" t="s">
        <v>141</v>
      </c>
      <c r="C42" s="27" t="s">
        <v>138</v>
      </c>
      <c r="D42" s="16"/>
      <c r="E42" s="16" t="s">
        <v>139</v>
      </c>
      <c r="F42" s="5" t="s">
        <v>142</v>
      </c>
    </row>
    <row r="43" spans="2:6" ht="15" customHeight="1" x14ac:dyDescent="0.45">
      <c r="B43" s="16" t="s">
        <v>143</v>
      </c>
      <c r="C43" s="28">
        <v>55</v>
      </c>
      <c r="D43" s="16" t="s">
        <v>144</v>
      </c>
      <c r="E43" s="16" t="s">
        <v>145</v>
      </c>
      <c r="F43" s="5" t="s">
        <v>146</v>
      </c>
    </row>
    <row r="44" spans="2:6" ht="15" customHeight="1" x14ac:dyDescent="0.45">
      <c r="B44" s="16" t="s">
        <v>147</v>
      </c>
      <c r="C44" s="27" t="s">
        <v>148</v>
      </c>
      <c r="D44" s="16"/>
      <c r="E44" s="16" t="s">
        <v>139</v>
      </c>
      <c r="F44" s="5" t="s">
        <v>149</v>
      </c>
    </row>
  </sheetData>
  <mergeCells count="6">
    <mergeCell ref="B34:F34"/>
    <mergeCell ref="B1:F1"/>
    <mergeCell ref="B2:F2"/>
    <mergeCell ref="B4:F4"/>
    <mergeCell ref="B10:F10"/>
    <mergeCell ref="B27:F27"/>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79"/>
  <sheetViews>
    <sheetView showGridLines="0" topLeftCell="A21" zoomScale="109" zoomScaleNormal="100" workbookViewId="0"/>
  </sheetViews>
  <sheetFormatPr defaultColWidth="8.6640625" defaultRowHeight="14.25" x14ac:dyDescent="0.45"/>
  <cols>
    <col min="1" max="1" width="2" customWidth="1"/>
    <col min="2" max="2" width="56" customWidth="1"/>
    <col min="3" max="4" width="16" customWidth="1"/>
    <col min="5" max="5" width="58.6640625" customWidth="1"/>
    <col min="6" max="6" width="16" customWidth="1"/>
  </cols>
  <sheetData>
    <row r="1" spans="2:6" ht="24" customHeight="1" x14ac:dyDescent="0.45">
      <c r="B1" s="120" t="s">
        <v>150</v>
      </c>
      <c r="C1" s="120"/>
      <c r="D1" s="120"/>
      <c r="E1" s="120"/>
      <c r="F1" s="120"/>
    </row>
    <row r="2" spans="2:6" ht="31.5" customHeight="1" x14ac:dyDescent="0.45">
      <c r="B2" s="118" t="s">
        <v>151</v>
      </c>
      <c r="C2" s="118"/>
      <c r="D2" s="118"/>
      <c r="E2" s="118"/>
      <c r="F2" s="118"/>
    </row>
    <row r="3" spans="2:6" ht="21.75" customHeight="1" x14ac:dyDescent="0.45">
      <c r="B3" s="14" t="s">
        <v>152</v>
      </c>
      <c r="C3" s="14" t="s">
        <v>32</v>
      </c>
      <c r="D3" s="14" t="s">
        <v>153</v>
      </c>
      <c r="E3" s="14" t="s">
        <v>154</v>
      </c>
      <c r="F3" s="14" t="s">
        <v>155</v>
      </c>
    </row>
    <row r="4" spans="2:6" ht="15" customHeight="1" x14ac:dyDescent="0.45">
      <c r="B4" s="121" t="s">
        <v>156</v>
      </c>
      <c r="C4" s="121"/>
      <c r="D4" s="121"/>
      <c r="E4" s="121"/>
      <c r="F4" s="121"/>
    </row>
    <row r="5" spans="2:6" ht="21.75" customHeight="1" x14ac:dyDescent="0.45">
      <c r="B5" s="16" t="s">
        <v>96</v>
      </c>
      <c r="C5" s="29">
        <f>'Live Market Data'!C24</f>
        <v>2.9000000000000001E-2</v>
      </c>
      <c r="D5" s="16" t="s">
        <v>157</v>
      </c>
      <c r="E5" s="16" t="s">
        <v>158</v>
      </c>
      <c r="F5" s="30" t="s">
        <v>159</v>
      </c>
    </row>
    <row r="6" spans="2:6" ht="21.75" customHeight="1" x14ac:dyDescent="0.45">
      <c r="B6" s="16" t="s">
        <v>160</v>
      </c>
      <c r="C6" s="25">
        <v>0.05</v>
      </c>
      <c r="D6" s="16" t="s">
        <v>157</v>
      </c>
      <c r="E6" s="16" t="s">
        <v>161</v>
      </c>
      <c r="F6" s="30" t="s">
        <v>159</v>
      </c>
    </row>
    <row r="7" spans="2:6" ht="32.25" customHeight="1" x14ac:dyDescent="0.45">
      <c r="B7" s="16" t="s">
        <v>162</v>
      </c>
      <c r="C7" s="26">
        <v>0.85</v>
      </c>
      <c r="D7" s="16" t="s">
        <v>163</v>
      </c>
      <c r="E7" s="16" t="s">
        <v>164</v>
      </c>
      <c r="F7" s="30" t="s">
        <v>165</v>
      </c>
    </row>
    <row r="8" spans="2:6" ht="32.25" customHeight="1" x14ac:dyDescent="0.45">
      <c r="B8" s="16" t="s">
        <v>166</v>
      </c>
      <c r="C8" s="25">
        <v>0.01</v>
      </c>
      <c r="D8" s="16" t="s">
        <v>157</v>
      </c>
      <c r="E8" s="16" t="s">
        <v>167</v>
      </c>
      <c r="F8" s="30" t="s">
        <v>165</v>
      </c>
    </row>
    <row r="9" spans="2:6" ht="32.25" customHeight="1" x14ac:dyDescent="0.45">
      <c r="B9" s="16" t="s">
        <v>168</v>
      </c>
      <c r="C9" s="31">
        <f>C5+C7*C6+C8</f>
        <v>8.1500000000000003E-2</v>
      </c>
      <c r="D9" s="16" t="s">
        <v>157</v>
      </c>
      <c r="E9" s="16" t="s">
        <v>169</v>
      </c>
      <c r="F9" s="30" t="s">
        <v>170</v>
      </c>
    </row>
    <row r="10" spans="2:6" ht="21.75" customHeight="1" x14ac:dyDescent="0.45">
      <c r="B10" s="16" t="s">
        <v>171</v>
      </c>
      <c r="C10" s="25">
        <v>2.5000000000000001E-2</v>
      </c>
      <c r="D10" s="16" t="s">
        <v>157</v>
      </c>
      <c r="E10" s="16" t="s">
        <v>172</v>
      </c>
      <c r="F10" s="30" t="s">
        <v>165</v>
      </c>
    </row>
    <row r="11" spans="2:6" ht="21.75" customHeight="1" x14ac:dyDescent="0.45">
      <c r="B11" s="16" t="s">
        <v>173</v>
      </c>
      <c r="C11" s="22">
        <v>0.1</v>
      </c>
      <c r="D11" s="16" t="s">
        <v>174</v>
      </c>
      <c r="E11" s="16" t="s">
        <v>175</v>
      </c>
      <c r="F11" s="30" t="s">
        <v>165</v>
      </c>
    </row>
    <row r="12" spans="2:6" ht="15" customHeight="1" x14ac:dyDescent="0.45">
      <c r="B12" s="16" t="s">
        <v>176</v>
      </c>
      <c r="C12" s="31">
        <f>C9*(1-C11)+C10*C11</f>
        <v>7.5850000000000001E-2</v>
      </c>
      <c r="D12" s="16" t="s">
        <v>157</v>
      </c>
      <c r="E12" s="16" t="s">
        <v>177</v>
      </c>
      <c r="F12" s="30" t="s">
        <v>170</v>
      </c>
    </row>
    <row r="14" spans="2:6" ht="15" customHeight="1" x14ac:dyDescent="0.45">
      <c r="B14" s="121" t="s">
        <v>178</v>
      </c>
      <c r="C14" s="121"/>
      <c r="D14" s="121"/>
      <c r="E14" s="121"/>
      <c r="F14" s="121"/>
    </row>
    <row r="15" spans="2:6" ht="21.75" customHeight="1" x14ac:dyDescent="0.45">
      <c r="B15" s="16" t="s">
        <v>179</v>
      </c>
      <c r="C15" s="25">
        <v>2.5000000000000001E-2</v>
      </c>
      <c r="D15" s="16" t="s">
        <v>180</v>
      </c>
      <c r="E15" s="16" t="s">
        <v>181</v>
      </c>
      <c r="F15" s="30" t="s">
        <v>165</v>
      </c>
    </row>
    <row r="16" spans="2:6" ht="32.25" customHeight="1" x14ac:dyDescent="0.45">
      <c r="B16" s="16" t="s">
        <v>182</v>
      </c>
      <c r="C16" s="22">
        <v>0.45</v>
      </c>
      <c r="D16" s="16" t="s">
        <v>183</v>
      </c>
      <c r="E16" s="16" t="s">
        <v>184</v>
      </c>
      <c r="F16" s="30" t="s">
        <v>165</v>
      </c>
    </row>
    <row r="17" spans="2:6" ht="21.75" customHeight="1" x14ac:dyDescent="0.45">
      <c r="B17" s="16" t="s">
        <v>185</v>
      </c>
      <c r="C17" s="22">
        <v>0.04</v>
      </c>
      <c r="D17" s="16" t="s">
        <v>186</v>
      </c>
      <c r="E17" s="16" t="s">
        <v>187</v>
      </c>
      <c r="F17" s="30" t="s">
        <v>165</v>
      </c>
    </row>
    <row r="19" spans="2:6" ht="15" customHeight="1" x14ac:dyDescent="0.45">
      <c r="B19" s="121" t="s">
        <v>188</v>
      </c>
      <c r="C19" s="121"/>
      <c r="D19" s="121"/>
      <c r="E19" s="121"/>
      <c r="F19" s="121"/>
    </row>
    <row r="20" spans="2:6" ht="15" customHeight="1" x14ac:dyDescent="0.45">
      <c r="B20" s="16" t="s">
        <v>189</v>
      </c>
      <c r="C20" s="28">
        <v>309064</v>
      </c>
      <c r="D20" s="16" t="s">
        <v>124</v>
      </c>
      <c r="E20" s="16" t="s">
        <v>190</v>
      </c>
      <c r="F20" s="30" t="s">
        <v>159</v>
      </c>
    </row>
    <row r="21" spans="2:6" ht="21.75" customHeight="1" x14ac:dyDescent="0.45">
      <c r="B21" s="16" t="s">
        <v>191</v>
      </c>
      <c r="C21" s="28">
        <v>135700</v>
      </c>
      <c r="D21" s="16" t="s">
        <v>124</v>
      </c>
      <c r="E21" s="16" t="s">
        <v>192</v>
      </c>
      <c r="F21" s="30" t="s">
        <v>159</v>
      </c>
    </row>
    <row r="22" spans="2:6" ht="15" customHeight="1" x14ac:dyDescent="0.45">
      <c r="B22" s="16" t="s">
        <v>193</v>
      </c>
      <c r="C22" s="28">
        <v>149640</v>
      </c>
      <c r="D22" s="16" t="s">
        <v>124</v>
      </c>
      <c r="E22" s="16" t="s">
        <v>194</v>
      </c>
      <c r="F22" s="30" t="s">
        <v>159</v>
      </c>
    </row>
    <row r="24" spans="2:6" ht="32.25" customHeight="1" x14ac:dyDescent="0.45">
      <c r="B24" s="2" t="s">
        <v>195</v>
      </c>
      <c r="C24" s="32">
        <v>0.11</v>
      </c>
      <c r="D24" s="16" t="s">
        <v>186</v>
      </c>
      <c r="E24" s="16" t="s">
        <v>196</v>
      </c>
      <c r="F24" s="33" t="s">
        <v>197</v>
      </c>
    </row>
    <row r="25" spans="2:6" ht="32.25" customHeight="1" x14ac:dyDescent="0.45">
      <c r="B25" s="2" t="s">
        <v>198</v>
      </c>
      <c r="C25" s="32">
        <v>0.05</v>
      </c>
      <c r="D25" s="16" t="s">
        <v>186</v>
      </c>
      <c r="E25" s="16" t="s">
        <v>199</v>
      </c>
      <c r="F25" s="33" t="s">
        <v>165</v>
      </c>
    </row>
    <row r="26" spans="2:6" ht="32.25" customHeight="1" x14ac:dyDescent="0.45">
      <c r="B26" s="2" t="s">
        <v>200</v>
      </c>
      <c r="C26" s="32">
        <v>-1.4999999999999999E-2</v>
      </c>
      <c r="D26" s="16" t="s">
        <v>186</v>
      </c>
      <c r="E26" s="16" t="s">
        <v>201</v>
      </c>
      <c r="F26" s="33" t="s">
        <v>165</v>
      </c>
    </row>
    <row r="28" spans="2:6" ht="21.75" customHeight="1" x14ac:dyDescent="0.45">
      <c r="B28" s="16" t="s">
        <v>202</v>
      </c>
      <c r="C28" s="22">
        <v>0.49</v>
      </c>
      <c r="D28" s="16" t="s">
        <v>183</v>
      </c>
      <c r="E28" s="16" t="s">
        <v>203</v>
      </c>
      <c r="F28" s="33" t="s">
        <v>197</v>
      </c>
    </row>
    <row r="29" spans="2:6" ht="21.75" customHeight="1" x14ac:dyDescent="0.45">
      <c r="B29" s="16" t="s">
        <v>204</v>
      </c>
      <c r="C29" s="22">
        <v>0.45</v>
      </c>
      <c r="D29" s="16" t="s">
        <v>183</v>
      </c>
      <c r="E29" s="16" t="s">
        <v>205</v>
      </c>
      <c r="F29" s="33" t="s">
        <v>165</v>
      </c>
    </row>
    <row r="30" spans="2:6" ht="21.75" customHeight="1" x14ac:dyDescent="0.45">
      <c r="B30" s="16" t="s">
        <v>206</v>
      </c>
      <c r="C30" s="22">
        <v>0.35</v>
      </c>
      <c r="D30" s="16" t="s">
        <v>183</v>
      </c>
      <c r="E30" s="16" t="s">
        <v>207</v>
      </c>
      <c r="F30" s="33" t="s">
        <v>165</v>
      </c>
    </row>
    <row r="32" spans="2:6" ht="21.75" customHeight="1" x14ac:dyDescent="0.45">
      <c r="B32" s="16" t="s">
        <v>208</v>
      </c>
      <c r="C32" s="19">
        <v>14</v>
      </c>
      <c r="D32" s="16" t="s">
        <v>66</v>
      </c>
      <c r="E32" s="16" t="s">
        <v>209</v>
      </c>
      <c r="F32" s="33" t="s">
        <v>197</v>
      </c>
    </row>
    <row r="33" spans="2:6" ht="21.75" customHeight="1" x14ac:dyDescent="0.45">
      <c r="B33" s="16" t="s">
        <v>210</v>
      </c>
      <c r="C33" s="19">
        <v>11</v>
      </c>
      <c r="D33" s="16" t="s">
        <v>66</v>
      </c>
      <c r="E33" s="16" t="s">
        <v>211</v>
      </c>
      <c r="F33" s="33" t="s">
        <v>165</v>
      </c>
    </row>
    <row r="34" spans="2:6" ht="21.75" customHeight="1" x14ac:dyDescent="0.45">
      <c r="B34" s="16" t="s">
        <v>212</v>
      </c>
      <c r="C34" s="19">
        <v>7.5</v>
      </c>
      <c r="D34" s="16" t="s">
        <v>66</v>
      </c>
      <c r="E34" s="16" t="s">
        <v>213</v>
      </c>
      <c r="F34" s="33" t="s">
        <v>165</v>
      </c>
    </row>
    <row r="36" spans="2:6" ht="15" customHeight="1" x14ac:dyDescent="0.45">
      <c r="B36" s="121" t="s">
        <v>214</v>
      </c>
      <c r="C36" s="121"/>
      <c r="D36" s="121"/>
      <c r="E36" s="121"/>
      <c r="F36" s="121"/>
    </row>
    <row r="37" spans="2:6" ht="32.25" customHeight="1" x14ac:dyDescent="0.45">
      <c r="B37" s="16" t="s">
        <v>215</v>
      </c>
      <c r="C37" s="32">
        <v>0.2</v>
      </c>
      <c r="D37" s="16" t="s">
        <v>216</v>
      </c>
      <c r="E37" s="16" t="s">
        <v>217</v>
      </c>
      <c r="F37" s="33" t="s">
        <v>165</v>
      </c>
    </row>
    <row r="38" spans="2:6" ht="21.75" customHeight="1" x14ac:dyDescent="0.45">
      <c r="B38" s="16" t="s">
        <v>218</v>
      </c>
      <c r="C38" s="32">
        <v>0.55000000000000004</v>
      </c>
      <c r="D38" s="16" t="s">
        <v>216</v>
      </c>
      <c r="E38" s="16" t="s">
        <v>219</v>
      </c>
      <c r="F38" s="33" t="s">
        <v>165</v>
      </c>
    </row>
    <row r="39" spans="2:6" ht="32.25" customHeight="1" x14ac:dyDescent="0.45">
      <c r="B39" s="16" t="s">
        <v>220</v>
      </c>
      <c r="C39" s="32">
        <v>0.25</v>
      </c>
      <c r="D39" s="16" t="s">
        <v>216</v>
      </c>
      <c r="E39" s="16" t="s">
        <v>221</v>
      </c>
      <c r="F39" s="33" t="s">
        <v>165</v>
      </c>
    </row>
    <row r="40" spans="2:6" ht="15" customHeight="1" x14ac:dyDescent="0.45">
      <c r="B40" s="2" t="s">
        <v>222</v>
      </c>
      <c r="C40" s="34">
        <f>C37+C38+C39</f>
        <v>1</v>
      </c>
      <c r="D40" s="16" t="s">
        <v>76</v>
      </c>
      <c r="E40" s="16" t="s">
        <v>223</v>
      </c>
      <c r="F40" s="33" t="s">
        <v>224</v>
      </c>
    </row>
    <row r="42" spans="2:6" ht="15" customHeight="1" x14ac:dyDescent="0.45">
      <c r="B42" s="121" t="s">
        <v>225</v>
      </c>
      <c r="C42" s="121"/>
      <c r="D42" s="121"/>
      <c r="E42" s="121"/>
      <c r="F42" s="121"/>
    </row>
    <row r="43" spans="2:6" ht="15" customHeight="1" x14ac:dyDescent="0.45">
      <c r="B43" s="16" t="s">
        <v>226</v>
      </c>
      <c r="C43" s="35">
        <f>DCF!H21</f>
        <v>74.324085117446202</v>
      </c>
      <c r="D43" s="16" t="s">
        <v>227</v>
      </c>
      <c r="E43" s="16" t="s">
        <v>228</v>
      </c>
      <c r="F43" s="33" t="s">
        <v>229</v>
      </c>
    </row>
    <row r="44" spans="2:6" ht="15" customHeight="1" x14ac:dyDescent="0.45">
      <c r="B44" s="16" t="s">
        <v>230</v>
      </c>
      <c r="C44" s="35">
        <f>DCF!H22</f>
        <v>48.320341619107104</v>
      </c>
      <c r="D44" s="16" t="s">
        <v>227</v>
      </c>
      <c r="E44" s="16" t="s">
        <v>231</v>
      </c>
      <c r="F44" s="33" t="s">
        <v>229</v>
      </c>
    </row>
    <row r="45" spans="2:6" ht="15" customHeight="1" x14ac:dyDescent="0.45">
      <c r="B45" s="16" t="s">
        <v>232</v>
      </c>
      <c r="C45" s="35">
        <f>DCF!H23</f>
        <v>21.430235438479009</v>
      </c>
      <c r="D45" s="16" t="s">
        <v>227</v>
      </c>
      <c r="E45" s="16" t="s">
        <v>233</v>
      </c>
      <c r="F45" s="33" t="s">
        <v>229</v>
      </c>
    </row>
    <row r="46" spans="2:6" ht="15" customHeight="1" x14ac:dyDescent="0.45">
      <c r="B46" s="2" t="s">
        <v>234</v>
      </c>
      <c r="C46" s="36">
        <f>C43*C37+C44*C38+C45*C39</f>
        <v>46.7985637736179</v>
      </c>
      <c r="D46" s="16" t="s">
        <v>227</v>
      </c>
      <c r="E46" s="16" t="s">
        <v>235</v>
      </c>
      <c r="F46" s="33" t="s">
        <v>170</v>
      </c>
    </row>
    <row r="48" spans="2:6" ht="15" customHeight="1" x14ac:dyDescent="0.45">
      <c r="B48" s="121" t="s">
        <v>236</v>
      </c>
      <c r="C48" s="121"/>
      <c r="D48" s="121"/>
      <c r="E48" s="121"/>
      <c r="F48" s="121"/>
    </row>
    <row r="49" spans="2:6" ht="15" customHeight="1" x14ac:dyDescent="0.45">
      <c r="B49" s="16" t="s">
        <v>237</v>
      </c>
      <c r="C49" s="35">
        <f>'Live Market Data'!C13</f>
        <v>3.3552238805970149</v>
      </c>
      <c r="D49" s="16" t="s">
        <v>227</v>
      </c>
      <c r="E49" s="16" t="s">
        <v>238</v>
      </c>
      <c r="F49" s="33" t="s">
        <v>229</v>
      </c>
    </row>
    <row r="50" spans="2:6" ht="21.75" customHeight="1" x14ac:dyDescent="0.45">
      <c r="B50" s="16" t="s">
        <v>239</v>
      </c>
      <c r="C50" s="37">
        <v>18</v>
      </c>
      <c r="D50" s="16" t="s">
        <v>240</v>
      </c>
      <c r="E50" s="16" t="s">
        <v>241</v>
      </c>
      <c r="F50" s="33" t="s">
        <v>165</v>
      </c>
    </row>
    <row r="51" spans="2:6" ht="21.75" customHeight="1" x14ac:dyDescent="0.45">
      <c r="B51" s="16" t="s">
        <v>242</v>
      </c>
      <c r="C51" s="37">
        <v>13.5</v>
      </c>
      <c r="D51" s="16" t="s">
        <v>240</v>
      </c>
      <c r="E51" s="16" t="s">
        <v>243</v>
      </c>
      <c r="F51" s="33" t="s">
        <v>165</v>
      </c>
    </row>
    <row r="52" spans="2:6" ht="15" customHeight="1" x14ac:dyDescent="0.45">
      <c r="B52" s="16" t="s">
        <v>244</v>
      </c>
      <c r="C52" s="37">
        <v>9</v>
      </c>
      <c r="D52" s="16" t="s">
        <v>240</v>
      </c>
      <c r="E52" s="16" t="s">
        <v>245</v>
      </c>
      <c r="F52" s="33" t="s">
        <v>197</v>
      </c>
    </row>
    <row r="54" spans="2:6" ht="15" customHeight="1" x14ac:dyDescent="0.45">
      <c r="B54" s="16" t="s">
        <v>246</v>
      </c>
      <c r="C54" s="36">
        <f>C50*C49</f>
        <v>60.394029850746271</v>
      </c>
      <c r="D54" s="16" t="s">
        <v>227</v>
      </c>
      <c r="E54" s="16" t="s">
        <v>247</v>
      </c>
      <c r="F54" s="33" t="s">
        <v>170</v>
      </c>
    </row>
    <row r="55" spans="2:6" ht="15" customHeight="1" x14ac:dyDescent="0.45">
      <c r="B55" s="16" t="s">
        <v>248</v>
      </c>
      <c r="C55" s="36">
        <f>C51*C49</f>
        <v>45.295522388059702</v>
      </c>
      <c r="D55" s="16" t="s">
        <v>227</v>
      </c>
      <c r="E55" s="16" t="s">
        <v>249</v>
      </c>
      <c r="F55" s="33" t="s">
        <v>170</v>
      </c>
    </row>
    <row r="56" spans="2:6" ht="15" customHeight="1" x14ac:dyDescent="0.45">
      <c r="B56" s="16" t="s">
        <v>250</v>
      </c>
      <c r="C56" s="36">
        <f>C52*C49*0.85</f>
        <v>25.667462686567166</v>
      </c>
      <c r="D56" s="16" t="s">
        <v>227</v>
      </c>
      <c r="E56" s="16" t="s">
        <v>251</v>
      </c>
      <c r="F56" s="33" t="s">
        <v>170</v>
      </c>
    </row>
    <row r="57" spans="2:6" ht="15" customHeight="1" x14ac:dyDescent="0.45">
      <c r="B57" s="2" t="s">
        <v>252</v>
      </c>
      <c r="C57" s="36">
        <f>C54*C37+C55*C38+C56*C39</f>
        <v>43.408208955223891</v>
      </c>
      <c r="D57" s="16" t="s">
        <v>227</v>
      </c>
      <c r="E57" s="16" t="s">
        <v>235</v>
      </c>
      <c r="F57" s="33" t="s">
        <v>170</v>
      </c>
    </row>
    <row r="59" spans="2:6" ht="15" customHeight="1" x14ac:dyDescent="0.45">
      <c r="B59" s="121" t="s">
        <v>253</v>
      </c>
      <c r="C59" s="121"/>
      <c r="D59" s="121"/>
      <c r="E59" s="121"/>
      <c r="F59" s="121"/>
    </row>
    <row r="60" spans="2:6" ht="32.25" customHeight="1" x14ac:dyDescent="0.45">
      <c r="B60" s="16" t="s">
        <v>254</v>
      </c>
      <c r="C60" s="38">
        <f>C22*0.96</f>
        <v>143654.39999999999</v>
      </c>
      <c r="D60" s="16" t="s">
        <v>124</v>
      </c>
      <c r="E60" s="16" t="s">
        <v>255</v>
      </c>
      <c r="F60" s="33" t="s">
        <v>170</v>
      </c>
    </row>
    <row r="61" spans="2:6" ht="15" customHeight="1" x14ac:dyDescent="0.45">
      <c r="B61" s="16" t="s">
        <v>256</v>
      </c>
      <c r="C61" s="38">
        <f>C60*C32</f>
        <v>2011161.5999999999</v>
      </c>
      <c r="D61" s="16" t="s">
        <v>124</v>
      </c>
      <c r="E61" s="16" t="s">
        <v>257</v>
      </c>
      <c r="F61" s="33" t="s">
        <v>170</v>
      </c>
    </row>
    <row r="62" spans="2:6" ht="15" customHeight="1" x14ac:dyDescent="0.45">
      <c r="B62" s="16" t="s">
        <v>258</v>
      </c>
      <c r="C62" s="38">
        <f>C60*C33</f>
        <v>1580198.4</v>
      </c>
      <c r="D62" s="16" t="s">
        <v>124</v>
      </c>
      <c r="E62" s="16" t="s">
        <v>259</v>
      </c>
      <c r="F62" s="33" t="s">
        <v>170</v>
      </c>
    </row>
    <row r="63" spans="2:6" ht="15" customHeight="1" x14ac:dyDescent="0.45">
      <c r="B63" s="16" t="s">
        <v>260</v>
      </c>
      <c r="C63" s="38">
        <f>C60*C34</f>
        <v>1077408</v>
      </c>
      <c r="D63" s="16" t="s">
        <v>124</v>
      </c>
      <c r="E63" s="16" t="s">
        <v>261</v>
      </c>
      <c r="F63" s="33" t="s">
        <v>170</v>
      </c>
    </row>
    <row r="64" spans="2:6" ht="21.75" customHeight="1" x14ac:dyDescent="0.45">
      <c r="B64" s="16" t="s">
        <v>262</v>
      </c>
      <c r="C64" s="35">
        <f>(C61-115919)/4435/'Live Market Data'!C25</f>
        <v>63.029155983012572</v>
      </c>
      <c r="D64" s="16" t="s">
        <v>227</v>
      </c>
      <c r="E64" s="16" t="s">
        <v>263</v>
      </c>
      <c r="F64" s="33" t="s">
        <v>170</v>
      </c>
    </row>
    <row r="65" spans="2:6" ht="15" customHeight="1" x14ac:dyDescent="0.45">
      <c r="B65" s="16" t="s">
        <v>264</v>
      </c>
      <c r="C65" s="35">
        <f>(C62-115919)/4435/'Live Market Data'!C25</f>
        <v>48.696823670654119</v>
      </c>
      <c r="D65" s="16" t="s">
        <v>227</v>
      </c>
      <c r="E65" s="16" t="s">
        <v>265</v>
      </c>
      <c r="F65" s="33" t="s">
        <v>170</v>
      </c>
    </row>
    <row r="66" spans="2:6" ht="15" customHeight="1" x14ac:dyDescent="0.45">
      <c r="B66" s="16" t="s">
        <v>266</v>
      </c>
      <c r="C66" s="35">
        <f>(C63-115919)/4435/'Live Market Data'!C25</f>
        <v>31.975769306235929</v>
      </c>
      <c r="D66" s="16" t="s">
        <v>227</v>
      </c>
      <c r="E66" s="16" t="s">
        <v>267</v>
      </c>
      <c r="F66" s="33" t="s">
        <v>170</v>
      </c>
    </row>
    <row r="67" spans="2:6" ht="15" customHeight="1" x14ac:dyDescent="0.45">
      <c r="B67" s="2" t="s">
        <v>268</v>
      </c>
      <c r="C67" s="36">
        <f>C64*C37+C65*C38+C66*C39</f>
        <v>47.383026542021263</v>
      </c>
      <c r="D67" s="16" t="s">
        <v>227</v>
      </c>
      <c r="E67" s="16" t="s">
        <v>235</v>
      </c>
      <c r="F67" s="33" t="s">
        <v>170</v>
      </c>
    </row>
    <row r="69" spans="2:6" ht="15" customHeight="1" x14ac:dyDescent="0.45">
      <c r="B69" s="121" t="s">
        <v>269</v>
      </c>
      <c r="C69" s="121"/>
      <c r="D69" s="121"/>
      <c r="E69" s="121"/>
      <c r="F69" s="121"/>
    </row>
    <row r="70" spans="2:6" ht="21.75" customHeight="1" x14ac:dyDescent="0.45">
      <c r="B70" s="16" t="s">
        <v>270</v>
      </c>
      <c r="C70" s="32">
        <v>0.5</v>
      </c>
      <c r="D70" s="16" t="s">
        <v>174</v>
      </c>
      <c r="E70" s="16" t="s">
        <v>271</v>
      </c>
      <c r="F70" s="33" t="s">
        <v>165</v>
      </c>
    </row>
    <row r="71" spans="2:6" ht="15" customHeight="1" x14ac:dyDescent="0.45">
      <c r="B71" s="16" t="s">
        <v>272</v>
      </c>
      <c r="C71" s="32">
        <v>0.3</v>
      </c>
      <c r="D71" s="16" t="s">
        <v>174</v>
      </c>
      <c r="E71" s="16" t="s">
        <v>273</v>
      </c>
      <c r="F71" s="33" t="s">
        <v>165</v>
      </c>
    </row>
    <row r="72" spans="2:6" ht="21.75" customHeight="1" x14ac:dyDescent="0.45">
      <c r="B72" s="16" t="s">
        <v>274</v>
      </c>
      <c r="C72" s="32">
        <v>0.2</v>
      </c>
      <c r="D72" s="16" t="s">
        <v>174</v>
      </c>
      <c r="E72" s="16" t="s">
        <v>275</v>
      </c>
      <c r="F72" s="33" t="s">
        <v>165</v>
      </c>
    </row>
    <row r="73" spans="2:6" ht="15" customHeight="1" x14ac:dyDescent="0.45">
      <c r="B73" s="2" t="s">
        <v>276</v>
      </c>
      <c r="C73" s="34">
        <f>C70+C71+C72</f>
        <v>1</v>
      </c>
      <c r="D73" s="16" t="s">
        <v>76</v>
      </c>
      <c r="E73" s="16" t="s">
        <v>277</v>
      </c>
      <c r="F73" s="33" t="s">
        <v>224</v>
      </c>
    </row>
    <row r="74" spans="2:6" ht="21.75" customHeight="1" x14ac:dyDescent="0.45">
      <c r="B74" s="2" t="s">
        <v>278</v>
      </c>
      <c r="C74" s="36">
        <f>C46*C70+C57*C71+C67*C72</f>
        <v>45.898349881780369</v>
      </c>
      <c r="D74" s="16" t="s">
        <v>227</v>
      </c>
      <c r="E74" s="16" t="s">
        <v>279</v>
      </c>
      <c r="F74" s="33" t="s">
        <v>170</v>
      </c>
    </row>
    <row r="75" spans="2:6" ht="21.75" customHeight="1" x14ac:dyDescent="0.45">
      <c r="B75" s="16" t="s">
        <v>280</v>
      </c>
      <c r="C75" s="32">
        <v>0</v>
      </c>
      <c r="D75" s="16" t="s">
        <v>281</v>
      </c>
      <c r="E75" s="16" t="s">
        <v>282</v>
      </c>
      <c r="F75" s="33" t="s">
        <v>283</v>
      </c>
    </row>
    <row r="76" spans="2:6" ht="21.75" customHeight="1" x14ac:dyDescent="0.5">
      <c r="B76" s="2" t="s">
        <v>284</v>
      </c>
      <c r="C76" s="39" t="str">
        <f>IF(C78&gt;0.2,"BUY",IF(C78&gt;0,"HOLD","AVOID"))</f>
        <v>HOLD</v>
      </c>
      <c r="D76" s="16" t="s">
        <v>285</v>
      </c>
      <c r="E76" s="16" t="s">
        <v>286</v>
      </c>
      <c r="F76" s="33" t="s">
        <v>170</v>
      </c>
    </row>
    <row r="77" spans="2:6" ht="21.75" customHeight="1" x14ac:dyDescent="0.45">
      <c r="B77" s="2" t="s">
        <v>287</v>
      </c>
      <c r="C77" s="40">
        <f>C74*(1+C75)</f>
        <v>45.898349881780369</v>
      </c>
      <c r="D77" s="16" t="s">
        <v>227</v>
      </c>
      <c r="E77" s="16" t="s">
        <v>288</v>
      </c>
      <c r="F77" s="33" t="s">
        <v>170</v>
      </c>
    </row>
    <row r="78" spans="2:6" ht="15" customHeight="1" x14ac:dyDescent="0.45">
      <c r="B78" s="16" t="s">
        <v>289</v>
      </c>
      <c r="C78" s="41">
        <f>C77/'Live Market Data'!C5-1</f>
        <v>2.0870771391912069E-2</v>
      </c>
      <c r="D78" s="16" t="s">
        <v>76</v>
      </c>
      <c r="E78" s="16" t="s">
        <v>290</v>
      </c>
      <c r="F78" s="33" t="s">
        <v>170</v>
      </c>
    </row>
    <row r="79" spans="2:6" ht="15" customHeight="1" x14ac:dyDescent="0.45">
      <c r="B79" s="2" t="s">
        <v>291</v>
      </c>
      <c r="C79" s="41">
        <f>C78+'Live Market Data'!C17</f>
        <v>5.925297149898856E-2</v>
      </c>
      <c r="D79" s="16" t="s">
        <v>76</v>
      </c>
      <c r="E79" s="16" t="s">
        <v>292</v>
      </c>
      <c r="F79" s="33" t="s">
        <v>170</v>
      </c>
    </row>
  </sheetData>
  <mergeCells count="10">
    <mergeCell ref="B1:F1"/>
    <mergeCell ref="B2:F2"/>
    <mergeCell ref="B4:F4"/>
    <mergeCell ref="B14:F14"/>
    <mergeCell ref="B19:F19"/>
    <mergeCell ref="B36:F36"/>
    <mergeCell ref="B42:F42"/>
    <mergeCell ref="B48:F48"/>
    <mergeCell ref="B59:F59"/>
    <mergeCell ref="B69:F69"/>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60"/>
  <sheetViews>
    <sheetView showGridLines="0" zoomScaleNormal="100" workbookViewId="0">
      <selection activeCell="K15" sqref="K15"/>
    </sheetView>
  </sheetViews>
  <sheetFormatPr defaultColWidth="8.6640625" defaultRowHeight="14.25" x14ac:dyDescent="0.45"/>
  <cols>
    <col min="1" max="1" width="2" customWidth="1"/>
    <col min="2" max="2" width="42" customWidth="1"/>
    <col min="3" max="9" width="14" customWidth="1"/>
  </cols>
  <sheetData>
    <row r="1" spans="2:9" ht="24" customHeight="1" x14ac:dyDescent="0.45">
      <c r="B1" s="120" t="s">
        <v>293</v>
      </c>
      <c r="C1" s="120"/>
      <c r="D1" s="120"/>
      <c r="E1" s="120"/>
      <c r="F1" s="120"/>
      <c r="G1" s="120"/>
      <c r="H1" s="120"/>
      <c r="I1" s="120"/>
    </row>
    <row r="3" spans="2:9" ht="21.75" customHeight="1" x14ac:dyDescent="0.45">
      <c r="B3" s="4" t="s">
        <v>31</v>
      </c>
      <c r="C3" s="4" t="s">
        <v>294</v>
      </c>
      <c r="D3" s="4" t="s">
        <v>295</v>
      </c>
      <c r="E3" s="4" t="s">
        <v>296</v>
      </c>
      <c r="F3" s="4" t="s">
        <v>297</v>
      </c>
      <c r="G3" s="4" t="s">
        <v>298</v>
      </c>
      <c r="H3" s="4" t="s">
        <v>299</v>
      </c>
      <c r="I3" s="4" t="s">
        <v>300</v>
      </c>
    </row>
    <row r="4" spans="2:9" ht="15" customHeight="1" x14ac:dyDescent="0.45">
      <c r="B4" s="121" t="s">
        <v>301</v>
      </c>
      <c r="C4" s="121"/>
      <c r="D4" s="121"/>
      <c r="E4" s="121"/>
      <c r="F4" s="121"/>
      <c r="G4" s="121"/>
      <c r="H4" s="121"/>
      <c r="I4" s="121"/>
    </row>
    <row r="5" spans="2:9" ht="15" customHeight="1" x14ac:dyDescent="0.45">
      <c r="B5" s="2" t="s">
        <v>302</v>
      </c>
      <c r="C5" s="28">
        <v>140800</v>
      </c>
      <c r="D5" s="28">
        <v>176954</v>
      </c>
      <c r="E5" s="28">
        <v>232261</v>
      </c>
      <c r="F5" s="28">
        <v>290403</v>
      </c>
      <c r="G5" s="28">
        <v>309064</v>
      </c>
      <c r="H5" s="23">
        <f>(G5/C5)^(1/4)-1</f>
        <v>0.21719859270638531</v>
      </c>
      <c r="I5" s="42">
        <f>G5/'Live Market Data'!$C$25</f>
        <v>45584.66076696165</v>
      </c>
    </row>
    <row r="6" spans="2:9" ht="15" customHeight="1" x14ac:dyDescent="0.45">
      <c r="B6" s="16" t="s">
        <v>303</v>
      </c>
      <c r="C6" s="22">
        <v>0.13800000000000001</v>
      </c>
      <c r="D6" s="22">
        <v>0.16400000000000001</v>
      </c>
      <c r="E6" s="22">
        <v>0.35599999999999998</v>
      </c>
      <c r="F6" s="22">
        <v>0.25700000000000001</v>
      </c>
      <c r="G6" s="22">
        <v>0.10299999999999999</v>
      </c>
      <c r="H6" s="33" t="s">
        <v>163</v>
      </c>
      <c r="I6" s="33" t="s">
        <v>163</v>
      </c>
    </row>
    <row r="7" spans="2:9" ht="15" customHeight="1" x14ac:dyDescent="0.45">
      <c r="B7" s="16" t="s">
        <v>304</v>
      </c>
      <c r="C7" s="22">
        <v>0.109</v>
      </c>
      <c r="D7" s="22">
        <v>0.25700000000000001</v>
      </c>
      <c r="E7" s="22">
        <v>0.313</v>
      </c>
      <c r="F7" s="22">
        <v>0.25</v>
      </c>
      <c r="G7" s="22">
        <v>6.4000000000000001E-2</v>
      </c>
      <c r="H7" s="33" t="s">
        <v>163</v>
      </c>
      <c r="I7" s="33" t="s">
        <v>163</v>
      </c>
    </row>
    <row r="8" spans="2:9" ht="15" customHeight="1" x14ac:dyDescent="0.45">
      <c r="B8" s="16" t="s">
        <v>305</v>
      </c>
      <c r="C8" s="28">
        <v>-23645</v>
      </c>
      <c r="D8" s="28">
        <v>-28491</v>
      </c>
      <c r="E8" s="28">
        <v>-35831</v>
      </c>
      <c r="F8" s="28">
        <v>-44432</v>
      </c>
      <c r="G8" s="28">
        <v>-58788</v>
      </c>
      <c r="H8" s="23">
        <f>(G8/C8)^(1/4)-1</f>
        <v>0.25570418534845962</v>
      </c>
      <c r="I8" s="42">
        <f>G8/'Live Market Data'!$C$25</f>
        <v>-8670.7964601769909</v>
      </c>
    </row>
    <row r="9" spans="2:9" ht="15" customHeight="1" x14ac:dyDescent="0.45">
      <c r="B9" s="2" t="s">
        <v>306</v>
      </c>
      <c r="C9" s="28">
        <v>117155</v>
      </c>
      <c r="D9" s="28">
        <v>148463</v>
      </c>
      <c r="E9" s="28">
        <v>196430</v>
      </c>
      <c r="F9" s="28">
        <v>245971</v>
      </c>
      <c r="G9" s="28">
        <v>250276</v>
      </c>
      <c r="H9" s="23">
        <f>(G9/C9)^(1/4)-1</f>
        <v>0.20896741124104934</v>
      </c>
      <c r="I9" s="42">
        <f>G9/'Live Market Data'!$C$25</f>
        <v>36913.864306784657</v>
      </c>
    </row>
    <row r="10" spans="2:9" ht="15" customHeight="1" x14ac:dyDescent="0.45">
      <c r="B10" s="16" t="s">
        <v>307</v>
      </c>
      <c r="C10" s="22">
        <v>0.83199999999999996</v>
      </c>
      <c r="D10" s="22">
        <v>0.83899999999999997</v>
      </c>
      <c r="E10" s="22">
        <v>0.84599999999999997</v>
      </c>
      <c r="F10" s="22">
        <v>0.84699999999999998</v>
      </c>
      <c r="G10" s="22">
        <v>0.81</v>
      </c>
      <c r="H10" s="33" t="s">
        <v>163</v>
      </c>
      <c r="I10" s="33" t="s">
        <v>163</v>
      </c>
    </row>
    <row r="11" spans="2:9" ht="15" customHeight="1" x14ac:dyDescent="0.45">
      <c r="B11" s="16" t="s">
        <v>308</v>
      </c>
      <c r="C11" s="28">
        <v>-37031</v>
      </c>
      <c r="D11" s="28">
        <v>-46214</v>
      </c>
      <c r="E11" s="28">
        <v>-56601</v>
      </c>
      <c r="F11" s="28">
        <v>-62028</v>
      </c>
      <c r="G11" s="28">
        <v>-64310</v>
      </c>
      <c r="H11" s="23">
        <f>(G11/C11)^(1/4)-1</f>
        <v>0.14796399608896671</v>
      </c>
      <c r="I11" s="42">
        <f>G11/'Live Market Data'!$C$25</f>
        <v>-9485.2507374631259</v>
      </c>
    </row>
    <row r="12" spans="2:9" ht="15" customHeight="1" x14ac:dyDescent="0.45">
      <c r="B12" s="16" t="s">
        <v>309</v>
      </c>
      <c r="C12" s="22">
        <v>0.26300000000000001</v>
      </c>
      <c r="D12" s="22">
        <v>0.26100000000000001</v>
      </c>
      <c r="E12" s="22">
        <v>0.24399999999999999</v>
      </c>
      <c r="F12" s="22">
        <v>0.214</v>
      </c>
      <c r="G12" s="22">
        <v>0.20799999999999999</v>
      </c>
      <c r="H12" s="33" t="s">
        <v>163</v>
      </c>
      <c r="I12" s="33" t="s">
        <v>163</v>
      </c>
    </row>
    <row r="13" spans="2:9" ht="15" customHeight="1" x14ac:dyDescent="0.45">
      <c r="B13" s="16" t="s">
        <v>310</v>
      </c>
      <c r="C13" s="28">
        <v>-17765</v>
      </c>
      <c r="D13" s="28">
        <v>-24080</v>
      </c>
      <c r="E13" s="28">
        <v>-32494</v>
      </c>
      <c r="F13" s="28">
        <v>-48202</v>
      </c>
      <c r="G13" s="28">
        <v>-52039</v>
      </c>
      <c r="H13" s="23">
        <f>(G13/C13)^(1/4)-1</f>
        <v>0.30825057004332845</v>
      </c>
      <c r="I13" s="42">
        <f>G13/'Live Market Data'!$C$25</f>
        <v>-7675.3687315634215</v>
      </c>
    </row>
    <row r="14" spans="2:9" ht="15" customHeight="1" x14ac:dyDescent="0.45">
      <c r="B14" s="16" t="s">
        <v>311</v>
      </c>
      <c r="C14" s="22">
        <v>0.126</v>
      </c>
      <c r="D14" s="22">
        <v>0.13600000000000001</v>
      </c>
      <c r="E14" s="22">
        <v>0.14000000000000001</v>
      </c>
      <c r="F14" s="22">
        <v>0.16600000000000001</v>
      </c>
      <c r="G14" s="22">
        <v>0.16800000000000001</v>
      </c>
      <c r="H14" s="33" t="s">
        <v>163</v>
      </c>
      <c r="I14" s="33" t="s">
        <v>163</v>
      </c>
    </row>
    <row r="15" spans="2:9" ht="15" customHeight="1" x14ac:dyDescent="0.45">
      <c r="B15" s="16" t="s">
        <v>312</v>
      </c>
      <c r="C15" s="28">
        <v>-3795</v>
      </c>
      <c r="D15" s="28">
        <v>-4470</v>
      </c>
      <c r="E15" s="28">
        <v>-4761</v>
      </c>
      <c r="F15" s="28">
        <v>-5299</v>
      </c>
      <c r="G15" s="28">
        <v>-5969</v>
      </c>
      <c r="H15" s="23">
        <f>(G15/C15)^(1/4)-1</f>
        <v>0.11988247815728159</v>
      </c>
      <c r="I15" s="42">
        <f>G15/'Live Market Data'!$C$25</f>
        <v>-880.38348082595871</v>
      </c>
    </row>
    <row r="16" spans="2:9" ht="15" customHeight="1" x14ac:dyDescent="0.45">
      <c r="B16" s="16" t="s">
        <v>313</v>
      </c>
      <c r="C16" s="28">
        <v>79</v>
      </c>
      <c r="D16" s="28">
        <v>1110</v>
      </c>
      <c r="E16" s="28">
        <v>0</v>
      </c>
      <c r="F16" s="28">
        <v>-2103</v>
      </c>
      <c r="G16" s="28">
        <v>-300</v>
      </c>
      <c r="H16" s="33" t="s">
        <v>163</v>
      </c>
      <c r="I16" s="42">
        <f>G16/'Live Market Data'!$C$25</f>
        <v>-44.247787610619469</v>
      </c>
    </row>
    <row r="17" spans="2:9" ht="15" customHeight="1" x14ac:dyDescent="0.45">
      <c r="B17" s="2" t="s">
        <v>314</v>
      </c>
      <c r="C17" s="28">
        <v>58644</v>
      </c>
      <c r="D17" s="28">
        <v>74809</v>
      </c>
      <c r="E17" s="28">
        <v>102574</v>
      </c>
      <c r="F17" s="28">
        <v>128339</v>
      </c>
      <c r="G17" s="28">
        <v>127658</v>
      </c>
      <c r="H17" s="23">
        <f>(G17/C17)^(1/4)-1</f>
        <v>0.21466386749980693</v>
      </c>
      <c r="I17" s="42">
        <f>G17/'Live Market Data'!$C$25</f>
        <v>18828.613569321533</v>
      </c>
    </row>
    <row r="18" spans="2:9" ht="15" customHeight="1" x14ac:dyDescent="0.45">
      <c r="B18" s="16" t="s">
        <v>315</v>
      </c>
      <c r="C18" s="22">
        <v>0.41699999999999998</v>
      </c>
      <c r="D18" s="22">
        <v>0.42299999999999999</v>
      </c>
      <c r="E18" s="22">
        <v>0.442</v>
      </c>
      <c r="F18" s="22">
        <v>0.442</v>
      </c>
      <c r="G18" s="22">
        <v>0.41299999999999998</v>
      </c>
      <c r="H18" s="33" t="s">
        <v>163</v>
      </c>
      <c r="I18" s="33" t="s">
        <v>163</v>
      </c>
    </row>
    <row r="19" spans="2:9" ht="15" customHeight="1" x14ac:dyDescent="0.45">
      <c r="B19" s="16" t="s">
        <v>316</v>
      </c>
      <c r="C19" s="28">
        <v>6025</v>
      </c>
      <c r="D19" s="28">
        <v>7362</v>
      </c>
      <c r="E19" s="28">
        <v>9413</v>
      </c>
      <c r="F19" s="28">
        <v>19107</v>
      </c>
      <c r="G19" s="28">
        <v>21982</v>
      </c>
      <c r="H19" s="23">
        <f>(G19/C19)^(1/4)-1</f>
        <v>0.3820620379517301</v>
      </c>
      <c r="I19" s="42">
        <f>G19/'Live Market Data'!$C$25</f>
        <v>3242.1828908554571</v>
      </c>
    </row>
    <row r="20" spans="2:9" ht="15" customHeight="1" x14ac:dyDescent="0.45">
      <c r="B20" s="2" t="s">
        <v>317</v>
      </c>
      <c r="C20" s="28">
        <v>64669</v>
      </c>
      <c r="D20" s="28">
        <v>82171</v>
      </c>
      <c r="E20" s="28">
        <v>111987</v>
      </c>
      <c r="F20" s="28">
        <v>147446</v>
      </c>
      <c r="G20" s="28">
        <v>149640</v>
      </c>
      <c r="H20" s="23">
        <f>(G20/C20)^(1/4)-1</f>
        <v>0.23335440295769994</v>
      </c>
      <c r="I20" s="42">
        <f>G20/'Live Market Data'!$C$25</f>
        <v>22070.796460176989</v>
      </c>
    </row>
    <row r="21" spans="2:9" ht="15" customHeight="1" x14ac:dyDescent="0.45">
      <c r="B21" s="16" t="s">
        <v>318</v>
      </c>
      <c r="C21" s="22">
        <v>0.45900000000000002</v>
      </c>
      <c r="D21" s="22">
        <v>0.46400000000000002</v>
      </c>
      <c r="E21" s="22">
        <v>0.48199999999999998</v>
      </c>
      <c r="F21" s="22">
        <v>0.50800000000000001</v>
      </c>
      <c r="G21" s="22">
        <v>0.48399999999999999</v>
      </c>
      <c r="H21" s="33" t="s">
        <v>163</v>
      </c>
      <c r="I21" s="33" t="s">
        <v>163</v>
      </c>
    </row>
    <row r="22" spans="2:9" ht="15" customHeight="1" x14ac:dyDescent="0.45">
      <c r="B22" s="2" t="s">
        <v>319</v>
      </c>
      <c r="C22" s="28">
        <v>47757</v>
      </c>
      <c r="D22" s="28">
        <v>55525</v>
      </c>
      <c r="E22" s="28">
        <v>83683</v>
      </c>
      <c r="F22" s="28">
        <v>100988</v>
      </c>
      <c r="G22" s="28">
        <v>102434</v>
      </c>
      <c r="H22" s="23">
        <f>(G22/C22)^(1/4)-1</f>
        <v>0.21018502231856329</v>
      </c>
      <c r="I22" s="42">
        <f>G22/'Live Market Data'!$C$25</f>
        <v>15108.259587020648</v>
      </c>
    </row>
    <row r="23" spans="2:9" ht="15" customHeight="1" x14ac:dyDescent="0.45">
      <c r="B23" s="16" t="s">
        <v>320</v>
      </c>
      <c r="C23" s="22">
        <v>0.33900000000000002</v>
      </c>
      <c r="D23" s="22">
        <v>0.314</v>
      </c>
      <c r="E23" s="22">
        <v>0.36</v>
      </c>
      <c r="F23" s="22">
        <v>0.34799999999999998</v>
      </c>
      <c r="G23" s="22">
        <v>0.33100000000000002</v>
      </c>
      <c r="H23" s="33" t="s">
        <v>163</v>
      </c>
      <c r="I23" s="33" t="s">
        <v>163</v>
      </c>
    </row>
    <row r="24" spans="2:9" ht="15" customHeight="1" x14ac:dyDescent="0.45">
      <c r="B24" s="2" t="s">
        <v>321</v>
      </c>
      <c r="C24" s="28">
        <v>49146</v>
      </c>
      <c r="D24" s="28">
        <v>57370</v>
      </c>
      <c r="E24" s="28">
        <v>86229</v>
      </c>
      <c r="F24" s="28">
        <v>110557</v>
      </c>
      <c r="G24" s="28">
        <v>116407</v>
      </c>
      <c r="H24" s="23">
        <f>(G24/C24)^(1/4)-1</f>
        <v>0.2405741576274214</v>
      </c>
      <c r="I24" s="42">
        <f>G24/'Live Market Data'!$C$25</f>
        <v>17169.174041297934</v>
      </c>
    </row>
    <row r="25" spans="2:9" ht="15" customHeight="1" x14ac:dyDescent="0.45">
      <c r="B25" s="16" t="s">
        <v>322</v>
      </c>
      <c r="C25" s="43">
        <v>10.37</v>
      </c>
      <c r="D25" s="43">
        <v>12.22</v>
      </c>
      <c r="E25" s="43">
        <v>18.62</v>
      </c>
      <c r="F25" s="43">
        <v>22.63</v>
      </c>
      <c r="G25" s="43">
        <v>23.03</v>
      </c>
      <c r="H25" s="33" t="s">
        <v>163</v>
      </c>
      <c r="I25" s="33" t="s">
        <v>163</v>
      </c>
    </row>
    <row r="26" spans="2:9" ht="15" customHeight="1" x14ac:dyDescent="0.45">
      <c r="B26" s="2" t="s">
        <v>323</v>
      </c>
      <c r="C26" s="43">
        <v>10.67</v>
      </c>
      <c r="D26" s="43">
        <v>12.62</v>
      </c>
      <c r="E26" s="43">
        <v>19.18</v>
      </c>
      <c r="F26" s="43">
        <v>24.77</v>
      </c>
      <c r="G26" s="43">
        <v>26.17</v>
      </c>
      <c r="H26" s="33" t="s">
        <v>163</v>
      </c>
      <c r="I26" s="33" t="s">
        <v>163</v>
      </c>
    </row>
    <row r="27" spans="2:9" ht="15" customHeight="1" x14ac:dyDescent="0.45">
      <c r="B27" s="16" t="s">
        <v>324</v>
      </c>
      <c r="C27" s="22">
        <v>0.192</v>
      </c>
      <c r="D27" s="22">
        <v>0.19600000000000001</v>
      </c>
      <c r="E27" s="22">
        <v>0.20100000000000001</v>
      </c>
      <c r="F27" s="22">
        <v>0.20599999999999999</v>
      </c>
      <c r="G27" s="22">
        <v>0.215</v>
      </c>
      <c r="H27" s="33" t="s">
        <v>163</v>
      </c>
      <c r="I27" s="33" t="s">
        <v>163</v>
      </c>
    </row>
    <row r="29" spans="2:9" ht="15" customHeight="1" x14ac:dyDescent="0.45">
      <c r="B29" s="121" t="s">
        <v>325</v>
      </c>
      <c r="C29" s="121"/>
      <c r="D29" s="121"/>
      <c r="E29" s="121"/>
      <c r="F29" s="121"/>
      <c r="G29" s="121"/>
      <c r="H29" s="121"/>
      <c r="I29" s="121"/>
    </row>
    <row r="30" spans="2:9" ht="15" customHeight="1" x14ac:dyDescent="0.45">
      <c r="B30" s="2" t="s">
        <v>326</v>
      </c>
      <c r="C30" s="28">
        <v>29319</v>
      </c>
      <c r="D30" s="28">
        <v>57362</v>
      </c>
      <c r="E30" s="28">
        <v>68326</v>
      </c>
      <c r="F30" s="28">
        <v>-14707</v>
      </c>
      <c r="G30" s="28">
        <v>28295</v>
      </c>
      <c r="H30" s="33" t="s">
        <v>163</v>
      </c>
      <c r="I30" s="42">
        <f>G30/'Live Market Data'!$C$25</f>
        <v>4173.3038348082591</v>
      </c>
    </row>
    <row r="31" spans="2:9" ht="15" customHeight="1" x14ac:dyDescent="0.45">
      <c r="B31" s="16" t="s">
        <v>327</v>
      </c>
      <c r="C31" s="28">
        <v>29319</v>
      </c>
      <c r="D31" s="28">
        <v>57362</v>
      </c>
      <c r="E31" s="28">
        <v>68326</v>
      </c>
      <c r="F31" s="28">
        <v>67456</v>
      </c>
      <c r="G31" s="28">
        <v>28295</v>
      </c>
      <c r="H31" s="23">
        <f>(G31/C31)^(1/4)-1</f>
        <v>-8.8482863117285149E-3</v>
      </c>
      <c r="I31" s="42">
        <f>G31/'Live Market Data'!$C$25</f>
        <v>4173.3038348082591</v>
      </c>
    </row>
    <row r="32" spans="2:9" ht="15" customHeight="1" x14ac:dyDescent="0.45">
      <c r="B32" s="16" t="s">
        <v>328</v>
      </c>
      <c r="C32" s="22">
        <v>0.61399999999999999</v>
      </c>
      <c r="D32" s="22">
        <v>1.0329999999999999</v>
      </c>
      <c r="E32" s="22">
        <v>0.81599999999999995</v>
      </c>
      <c r="F32" s="22">
        <v>-0.14599999999999999</v>
      </c>
      <c r="G32" s="22">
        <v>0.27600000000000002</v>
      </c>
      <c r="H32" s="33" t="s">
        <v>163</v>
      </c>
      <c r="I32" s="33" t="s">
        <v>163</v>
      </c>
    </row>
    <row r="33" spans="2:9" ht="15" customHeight="1" x14ac:dyDescent="0.45">
      <c r="B33" s="2" t="s">
        <v>329</v>
      </c>
      <c r="C33" s="28">
        <v>6335</v>
      </c>
      <c r="D33" s="28">
        <v>12146</v>
      </c>
      <c r="E33" s="28">
        <v>25806</v>
      </c>
      <c r="F33" s="28">
        <v>47164</v>
      </c>
      <c r="G33" s="28">
        <v>60140</v>
      </c>
      <c r="H33" s="23">
        <f>(G33/C33)^(1/4)-1</f>
        <v>0.75531151211427416</v>
      </c>
      <c r="I33" s="42">
        <f>G33/'Live Market Data'!$C$25</f>
        <v>8870.2064896755164</v>
      </c>
    </row>
    <row r="34" spans="2:9" ht="15" customHeight="1" x14ac:dyDescent="0.45">
      <c r="B34" s="16" t="s">
        <v>330</v>
      </c>
      <c r="C34" s="22">
        <v>4.4999999999999998E-2</v>
      </c>
      <c r="D34" s="22">
        <v>6.9000000000000006E-2</v>
      </c>
      <c r="E34" s="22">
        <v>0.111</v>
      </c>
      <c r="F34" s="22">
        <v>0.16200000000000001</v>
      </c>
      <c r="G34" s="22">
        <v>0.19500000000000001</v>
      </c>
      <c r="H34" s="33" t="s">
        <v>163</v>
      </c>
      <c r="I34" s="33" t="s">
        <v>163</v>
      </c>
    </row>
    <row r="35" spans="2:9" ht="15" customHeight="1" x14ac:dyDescent="0.45">
      <c r="B35" s="2" t="s">
        <v>331</v>
      </c>
      <c r="C35" s="28">
        <v>1050</v>
      </c>
      <c r="D35" s="28">
        <v>2607</v>
      </c>
      <c r="E35" s="28">
        <v>13090</v>
      </c>
      <c r="F35" s="28">
        <v>4145</v>
      </c>
      <c r="G35" s="28">
        <v>29973</v>
      </c>
      <c r="H35" s="33" t="s">
        <v>163</v>
      </c>
      <c r="I35" s="42">
        <f>G35/'Live Market Data'!$C$25</f>
        <v>4420.7964601769909</v>
      </c>
    </row>
    <row r="36" spans="2:9" ht="15" customHeight="1" x14ac:dyDescent="0.45">
      <c r="B36" s="2" t="s">
        <v>332</v>
      </c>
      <c r="C36" s="28">
        <v>18283</v>
      </c>
      <c r="D36" s="28">
        <v>7075</v>
      </c>
      <c r="E36" s="28">
        <v>0</v>
      </c>
      <c r="F36" s="28">
        <v>82163</v>
      </c>
      <c r="G36" s="28">
        <v>0</v>
      </c>
      <c r="H36" s="33" t="s">
        <v>163</v>
      </c>
      <c r="I36" s="42">
        <f>G36/'Live Market Data'!$C$25</f>
        <v>0</v>
      </c>
    </row>
    <row r="37" spans="2:9" ht="15" customHeight="1" x14ac:dyDescent="0.45">
      <c r="B37" s="2" t="s">
        <v>333</v>
      </c>
      <c r="C37" s="28">
        <v>19447</v>
      </c>
      <c r="D37" s="28">
        <v>24086</v>
      </c>
      <c r="E37" s="28">
        <v>29924</v>
      </c>
      <c r="F37" s="28">
        <v>20181</v>
      </c>
      <c r="G37" s="28">
        <v>1388</v>
      </c>
      <c r="H37" s="33" t="s">
        <v>163</v>
      </c>
      <c r="I37" s="42">
        <f>G37/'Live Market Data'!$C$25</f>
        <v>204.71976401179941</v>
      </c>
    </row>
    <row r="38" spans="2:9" ht="15" customHeight="1" x14ac:dyDescent="0.45">
      <c r="B38" s="2" t="s">
        <v>334</v>
      </c>
      <c r="C38" s="28">
        <v>23711</v>
      </c>
      <c r="D38" s="28">
        <v>27950</v>
      </c>
      <c r="E38" s="28">
        <v>41987</v>
      </c>
      <c r="F38" s="28">
        <v>50683</v>
      </c>
      <c r="G38" s="28">
        <v>51975</v>
      </c>
      <c r="H38" s="23">
        <f>(G38/C38)^(1/4)-1</f>
        <v>0.21677746215467497</v>
      </c>
      <c r="I38" s="42">
        <f>G38/'Live Market Data'!$C$25</f>
        <v>7665.929203539823</v>
      </c>
    </row>
    <row r="39" spans="2:9" ht="15" customHeight="1" x14ac:dyDescent="0.45">
      <c r="B39" s="2" t="s">
        <v>335</v>
      </c>
      <c r="C39" s="43">
        <v>5.2</v>
      </c>
      <c r="D39" s="43">
        <v>6.2</v>
      </c>
      <c r="E39" s="43">
        <v>9.4</v>
      </c>
      <c r="F39" s="43">
        <v>11.4</v>
      </c>
      <c r="G39" s="43">
        <v>11.7</v>
      </c>
      <c r="H39" s="33" t="s">
        <v>163</v>
      </c>
      <c r="I39" s="33" t="s">
        <v>163</v>
      </c>
    </row>
    <row r="40" spans="2:9" ht="15" customHeight="1" x14ac:dyDescent="0.45">
      <c r="B40" s="2" t="s">
        <v>336</v>
      </c>
      <c r="C40" s="22">
        <v>0.496</v>
      </c>
      <c r="D40" s="22">
        <v>0.503</v>
      </c>
      <c r="E40" s="22">
        <v>0.502</v>
      </c>
      <c r="F40" s="22">
        <v>0.502</v>
      </c>
      <c r="G40" s="22">
        <v>0.50700000000000001</v>
      </c>
      <c r="H40" s="33" t="s">
        <v>163</v>
      </c>
      <c r="I40" s="33" t="s">
        <v>163</v>
      </c>
    </row>
    <row r="42" spans="2:9" ht="15" customHeight="1" x14ac:dyDescent="0.45">
      <c r="B42" s="121" t="s">
        <v>337</v>
      </c>
      <c r="C42" s="121"/>
      <c r="D42" s="121"/>
      <c r="E42" s="121"/>
      <c r="F42" s="121"/>
      <c r="G42" s="121"/>
      <c r="H42" s="121"/>
      <c r="I42" s="121"/>
    </row>
    <row r="43" spans="2:9" ht="15" customHeight="1" x14ac:dyDescent="0.45">
      <c r="B43" s="2" t="s">
        <v>338</v>
      </c>
      <c r="C43" s="28">
        <v>194508</v>
      </c>
      <c r="D43" s="28">
        <v>241257</v>
      </c>
      <c r="E43" s="28">
        <v>314486</v>
      </c>
      <c r="F43" s="28">
        <v>465630</v>
      </c>
      <c r="G43" s="28">
        <v>542902</v>
      </c>
      <c r="H43" s="23">
        <f>(G43/C43)^(1/4)-1</f>
        <v>0.29254595626987978</v>
      </c>
      <c r="I43" s="42">
        <f>G43/'Live Market Data'!$C$25</f>
        <v>80074.041297935095</v>
      </c>
    </row>
    <row r="44" spans="2:9" ht="15" customHeight="1" x14ac:dyDescent="0.45">
      <c r="B44" s="2" t="s">
        <v>339</v>
      </c>
      <c r="C44" s="28">
        <v>70746</v>
      </c>
      <c r="D44" s="28">
        <v>83486</v>
      </c>
      <c r="E44" s="28">
        <v>106561</v>
      </c>
      <c r="F44" s="28">
        <v>143486</v>
      </c>
      <c r="G44" s="28">
        <v>194047</v>
      </c>
      <c r="H44" s="23">
        <f>(G44/C44)^(1/4)-1</f>
        <v>0.28691914209455183</v>
      </c>
      <c r="I44" s="42">
        <f>G44/'Live Market Data'!$C$25</f>
        <v>28620.501474926252</v>
      </c>
    </row>
    <row r="45" spans="2:9" ht="15" customHeight="1" x14ac:dyDescent="0.45">
      <c r="B45" s="2" t="s">
        <v>340</v>
      </c>
      <c r="C45" s="28">
        <v>-5031</v>
      </c>
      <c r="D45" s="28">
        <v>2319</v>
      </c>
      <c r="E45" s="28">
        <v>8950</v>
      </c>
      <c r="F45" s="28">
        <v>-69713</v>
      </c>
      <c r="G45" s="28">
        <v>-95424</v>
      </c>
      <c r="H45" s="33" t="s">
        <v>163</v>
      </c>
      <c r="I45" s="42">
        <f>G45/'Live Market Data'!$C$25</f>
        <v>-14074.336283185839</v>
      </c>
    </row>
    <row r="46" spans="2:9" ht="15" customHeight="1" x14ac:dyDescent="0.45">
      <c r="B46" s="2" t="s">
        <v>341</v>
      </c>
      <c r="C46" s="22">
        <v>0.69</v>
      </c>
      <c r="D46" s="22">
        <v>0.73599999999999999</v>
      </c>
      <c r="E46" s="22">
        <v>0.88500000000000001</v>
      </c>
      <c r="F46" s="22">
        <v>0.63900000000000001</v>
      </c>
      <c r="G46" s="22">
        <v>0.39300000000000002</v>
      </c>
      <c r="H46" s="33" t="s">
        <v>163</v>
      </c>
      <c r="I46" s="33" t="s">
        <v>163</v>
      </c>
    </row>
    <row r="47" spans="2:9" ht="15" customHeight="1" x14ac:dyDescent="0.45">
      <c r="B47" s="2" t="s">
        <v>342</v>
      </c>
      <c r="C47" s="44">
        <f>C46-Assumptions!$C$12</f>
        <v>0.61414999999999997</v>
      </c>
      <c r="D47" s="44">
        <f>D46-Assumptions!$C$12</f>
        <v>0.66015000000000001</v>
      </c>
      <c r="E47" s="44">
        <f>E46-Assumptions!$C$12</f>
        <v>0.80915000000000004</v>
      </c>
      <c r="F47" s="44">
        <f>F46-Assumptions!$C$12</f>
        <v>0.56315000000000004</v>
      </c>
      <c r="G47" s="44">
        <f>G46-Assumptions!$C$12</f>
        <v>0.31715000000000004</v>
      </c>
      <c r="H47" s="45" t="s">
        <v>163</v>
      </c>
      <c r="I47" s="45" t="s">
        <v>163</v>
      </c>
    </row>
    <row r="49" spans="2:9" ht="15" customHeight="1" x14ac:dyDescent="0.45">
      <c r="B49" s="121" t="s">
        <v>343</v>
      </c>
      <c r="C49" s="121"/>
      <c r="D49" s="121"/>
      <c r="E49" s="121"/>
      <c r="F49" s="121"/>
      <c r="G49" s="121"/>
      <c r="H49" s="121"/>
      <c r="I49" s="121"/>
    </row>
    <row r="50" spans="2:9" ht="15" customHeight="1" x14ac:dyDescent="0.45">
      <c r="B50" s="4" t="s">
        <v>344</v>
      </c>
      <c r="C50" s="4" t="s">
        <v>345</v>
      </c>
      <c r="D50" s="4" t="s">
        <v>346</v>
      </c>
      <c r="E50" s="4" t="s">
        <v>347</v>
      </c>
      <c r="F50" s="119" t="s">
        <v>35</v>
      </c>
      <c r="G50" s="119"/>
      <c r="H50" s="119"/>
      <c r="I50" s="119"/>
    </row>
    <row r="51" spans="2:9" ht="20.25" customHeight="1" x14ac:dyDescent="0.45">
      <c r="B51" s="16" t="s">
        <v>348</v>
      </c>
      <c r="C51" s="28">
        <v>82347</v>
      </c>
      <c r="D51" s="22">
        <v>0.26643996065539799</v>
      </c>
      <c r="E51" s="22">
        <v>0.31</v>
      </c>
      <c r="F51" s="118" t="s">
        <v>349</v>
      </c>
      <c r="G51" s="118"/>
      <c r="H51" s="118"/>
      <c r="I51" s="118"/>
    </row>
    <row r="52" spans="2:9" ht="15" customHeight="1" x14ac:dyDescent="0.45">
      <c r="B52" s="16" t="s">
        <v>350</v>
      </c>
      <c r="C52" s="28">
        <v>127089</v>
      </c>
      <c r="D52" s="22">
        <v>0.41120609323635199</v>
      </c>
      <c r="E52" s="22">
        <v>0.1</v>
      </c>
      <c r="F52" s="118" t="s">
        <v>351</v>
      </c>
      <c r="G52" s="118"/>
      <c r="H52" s="118"/>
      <c r="I52" s="118"/>
    </row>
    <row r="53" spans="2:9" ht="15" customHeight="1" x14ac:dyDescent="0.45">
      <c r="B53" s="16" t="s">
        <v>352</v>
      </c>
      <c r="C53" s="28">
        <v>22093</v>
      </c>
      <c r="D53" s="22">
        <v>7.1483576217223593E-2</v>
      </c>
      <c r="E53" s="22">
        <v>-0.02</v>
      </c>
      <c r="F53" s="118" t="s">
        <v>353</v>
      </c>
      <c r="G53" s="118"/>
      <c r="H53" s="118"/>
      <c r="I53" s="118"/>
    </row>
    <row r="54" spans="2:9" ht="15" customHeight="1" x14ac:dyDescent="0.45">
      <c r="B54" s="16" t="s">
        <v>354</v>
      </c>
      <c r="C54" s="28">
        <v>3020</v>
      </c>
      <c r="D54" s="22">
        <v>9.7714389252711396E-3</v>
      </c>
      <c r="E54" s="22">
        <v>-0.43</v>
      </c>
      <c r="F54" s="118" t="s">
        <v>355</v>
      </c>
      <c r="G54" s="118"/>
      <c r="H54" s="118"/>
      <c r="I54" s="118"/>
    </row>
    <row r="55" spans="2:9" ht="15" customHeight="1" x14ac:dyDescent="0.45">
      <c r="B55" s="16" t="s">
        <v>356</v>
      </c>
      <c r="C55" s="28">
        <v>53137</v>
      </c>
      <c r="D55" s="22">
        <v>0.17192879144772599</v>
      </c>
      <c r="E55" s="22">
        <v>-0.01</v>
      </c>
      <c r="F55" s="118" t="s">
        <v>357</v>
      </c>
      <c r="G55" s="118"/>
      <c r="H55" s="118"/>
      <c r="I55" s="118"/>
    </row>
    <row r="56" spans="2:9" ht="15" customHeight="1" x14ac:dyDescent="0.45">
      <c r="B56" s="16" t="s">
        <v>358</v>
      </c>
      <c r="C56" s="28">
        <v>1770</v>
      </c>
      <c r="D56" s="22">
        <v>5.7269691714337502E-3</v>
      </c>
      <c r="E56" s="22">
        <v>0.04</v>
      </c>
      <c r="F56" s="118" t="s">
        <v>359</v>
      </c>
      <c r="G56" s="118"/>
      <c r="H56" s="118"/>
      <c r="I56" s="118"/>
    </row>
    <row r="57" spans="2:9" ht="15" customHeight="1" x14ac:dyDescent="0.45">
      <c r="B57" s="16" t="s">
        <v>360</v>
      </c>
      <c r="C57" s="28">
        <v>19608</v>
      </c>
      <c r="D57" s="22">
        <v>6.3443170346594899E-2</v>
      </c>
      <c r="E57" s="22">
        <v>0.09</v>
      </c>
      <c r="F57" s="118" t="s">
        <v>361</v>
      </c>
      <c r="G57" s="118"/>
      <c r="H57" s="118"/>
      <c r="I57" s="118"/>
    </row>
    <row r="58" spans="2:9" ht="15" customHeight="1" x14ac:dyDescent="0.45">
      <c r="B58" s="2" t="s">
        <v>362</v>
      </c>
      <c r="C58" s="17">
        <v>309064</v>
      </c>
      <c r="D58" s="32">
        <v>1</v>
      </c>
      <c r="E58" s="22">
        <v>0.10299999999999999</v>
      </c>
      <c r="F58" s="118" t="s">
        <v>363</v>
      </c>
      <c r="G58" s="118"/>
      <c r="H58" s="118"/>
      <c r="I58" s="118"/>
    </row>
    <row r="60" spans="2:9" ht="24" customHeight="1" x14ac:dyDescent="0.45">
      <c r="B60" s="118" t="s">
        <v>364</v>
      </c>
      <c r="C60" s="118"/>
      <c r="D60" s="118"/>
      <c r="E60" s="118"/>
      <c r="F60" s="118"/>
      <c r="G60" s="118"/>
      <c r="H60" s="118"/>
      <c r="I60" s="118"/>
    </row>
  </sheetData>
  <mergeCells count="15">
    <mergeCell ref="B1:I1"/>
    <mergeCell ref="B4:I4"/>
    <mergeCell ref="B29:I29"/>
    <mergeCell ref="B42:I42"/>
    <mergeCell ref="B49:I49"/>
    <mergeCell ref="F50:I50"/>
    <mergeCell ref="F51:I51"/>
    <mergeCell ref="F52:I52"/>
    <mergeCell ref="F53:I53"/>
    <mergeCell ref="F54:I54"/>
    <mergeCell ref="F55:I55"/>
    <mergeCell ref="F56:I56"/>
    <mergeCell ref="F57:I57"/>
    <mergeCell ref="F58:I58"/>
    <mergeCell ref="B60:I60"/>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0"/>
  <sheetViews>
    <sheetView showGridLines="0" zoomScale="109" zoomScaleNormal="100" workbookViewId="0"/>
  </sheetViews>
  <sheetFormatPr defaultColWidth="8.6640625" defaultRowHeight="14.25" x14ac:dyDescent="0.45"/>
  <cols>
    <col min="1" max="1" width="2" customWidth="1"/>
    <col min="2" max="2" width="6" customWidth="1"/>
    <col min="3" max="3" width="46" customWidth="1"/>
    <col min="4" max="4" width="18" customWidth="1"/>
    <col min="5" max="5" width="16" customWidth="1"/>
    <col min="6" max="6" width="12" customWidth="1"/>
    <col min="7" max="7" width="60" customWidth="1"/>
  </cols>
  <sheetData>
    <row r="1" spans="2:7" ht="24" customHeight="1" x14ac:dyDescent="0.45">
      <c r="B1" s="120" t="s">
        <v>365</v>
      </c>
      <c r="C1" s="120"/>
      <c r="D1" s="120"/>
      <c r="E1" s="120"/>
      <c r="F1" s="120"/>
      <c r="G1" s="120"/>
    </row>
    <row r="2" spans="2:7" ht="36" customHeight="1" x14ac:dyDescent="0.45">
      <c r="B2" s="118" t="s">
        <v>366</v>
      </c>
      <c r="C2" s="118"/>
      <c r="D2" s="118"/>
      <c r="E2" s="118"/>
      <c r="F2" s="118"/>
      <c r="G2" s="118"/>
    </row>
    <row r="4" spans="2:7" ht="21.75" customHeight="1" x14ac:dyDescent="0.45">
      <c r="B4" s="4" t="s">
        <v>367</v>
      </c>
      <c r="C4" s="4" t="s">
        <v>368</v>
      </c>
      <c r="D4" s="4" t="s">
        <v>369</v>
      </c>
      <c r="E4" s="4" t="s">
        <v>346</v>
      </c>
      <c r="F4" s="4" t="s">
        <v>370</v>
      </c>
      <c r="G4" s="4" t="s">
        <v>371</v>
      </c>
    </row>
    <row r="5" spans="2:7" ht="20.25" customHeight="1" x14ac:dyDescent="0.45">
      <c r="B5" s="46" t="s">
        <v>372</v>
      </c>
      <c r="C5" s="2" t="s">
        <v>373</v>
      </c>
      <c r="D5" s="17">
        <v>309064</v>
      </c>
      <c r="E5" s="32">
        <v>1</v>
      </c>
      <c r="F5" s="27" t="s">
        <v>374</v>
      </c>
      <c r="G5" s="5" t="s">
        <v>375</v>
      </c>
    </row>
    <row r="6" spans="2:7" ht="30" customHeight="1" x14ac:dyDescent="0.45">
      <c r="B6" s="47">
        <v>1</v>
      </c>
      <c r="C6" s="16" t="s">
        <v>376</v>
      </c>
      <c r="D6" s="28">
        <v>-27500</v>
      </c>
      <c r="E6" s="23">
        <f t="shared" ref="E6:E18" si="0">D6/$D$5</f>
        <v>-8.8978334584422641E-2</v>
      </c>
      <c r="F6" s="48" t="s">
        <v>377</v>
      </c>
      <c r="G6" s="5" t="s">
        <v>378</v>
      </c>
    </row>
    <row r="7" spans="2:7" ht="20.25" customHeight="1" x14ac:dyDescent="0.45">
      <c r="B7" s="47">
        <v>2</v>
      </c>
      <c r="C7" s="16" t="s">
        <v>379</v>
      </c>
      <c r="D7" s="28">
        <v>-8000</v>
      </c>
      <c r="E7" s="23">
        <f t="shared" si="0"/>
        <v>-2.5884606424559316E-2</v>
      </c>
      <c r="F7" s="48" t="s">
        <v>377</v>
      </c>
      <c r="G7" s="5" t="s">
        <v>380</v>
      </c>
    </row>
    <row r="8" spans="2:7" ht="20.25" customHeight="1" x14ac:dyDescent="0.45">
      <c r="B8" s="47">
        <v>3</v>
      </c>
      <c r="C8" s="16" t="s">
        <v>381</v>
      </c>
      <c r="D8" s="28">
        <v>-3000</v>
      </c>
      <c r="E8" s="23">
        <f t="shared" si="0"/>
        <v>-9.7067274092097425E-3</v>
      </c>
      <c r="F8" s="49" t="s">
        <v>382</v>
      </c>
      <c r="G8" s="5" t="s">
        <v>383</v>
      </c>
    </row>
    <row r="9" spans="2:7" ht="20.25" customHeight="1" x14ac:dyDescent="0.45">
      <c r="B9" s="47">
        <v>4</v>
      </c>
      <c r="C9" s="16" t="s">
        <v>384</v>
      </c>
      <c r="D9" s="28">
        <v>2500</v>
      </c>
      <c r="E9" s="23">
        <f t="shared" si="0"/>
        <v>8.0889395076747857E-3</v>
      </c>
      <c r="F9" s="50" t="s">
        <v>385</v>
      </c>
      <c r="G9" s="5" t="s">
        <v>386</v>
      </c>
    </row>
    <row r="10" spans="2:7" ht="20.25" customHeight="1" x14ac:dyDescent="0.45">
      <c r="B10" s="47">
        <v>5</v>
      </c>
      <c r="C10" s="16" t="s">
        <v>387</v>
      </c>
      <c r="D10" s="28">
        <v>6500</v>
      </c>
      <c r="E10" s="23">
        <f t="shared" si="0"/>
        <v>2.1031242719954442E-2</v>
      </c>
      <c r="F10" s="50" t="s">
        <v>385</v>
      </c>
      <c r="G10" s="5" t="s">
        <v>388</v>
      </c>
    </row>
    <row r="11" spans="2:7" ht="20.25" customHeight="1" x14ac:dyDescent="0.45">
      <c r="B11" s="47">
        <v>6</v>
      </c>
      <c r="C11" s="16" t="s">
        <v>389</v>
      </c>
      <c r="D11" s="28">
        <v>9500</v>
      </c>
      <c r="E11" s="23">
        <f t="shared" si="0"/>
        <v>3.0737970129164186E-2</v>
      </c>
      <c r="F11" s="50" t="s">
        <v>385</v>
      </c>
      <c r="G11" s="5" t="s">
        <v>390</v>
      </c>
    </row>
    <row r="12" spans="2:7" ht="20.25" customHeight="1" x14ac:dyDescent="0.45">
      <c r="B12" s="47">
        <v>7</v>
      </c>
      <c r="C12" s="16" t="s">
        <v>391</v>
      </c>
      <c r="D12" s="28">
        <v>2000</v>
      </c>
      <c r="E12" s="23">
        <f t="shared" si="0"/>
        <v>6.4711516061398289E-3</v>
      </c>
      <c r="F12" s="50" t="s">
        <v>385</v>
      </c>
      <c r="G12" s="5" t="s">
        <v>392</v>
      </c>
    </row>
    <row r="13" spans="2:7" ht="20.25" customHeight="1" x14ac:dyDescent="0.45">
      <c r="B13" s="47">
        <v>8</v>
      </c>
      <c r="C13" s="16" t="s">
        <v>393</v>
      </c>
      <c r="D13" s="28">
        <v>-7500</v>
      </c>
      <c r="E13" s="23">
        <f t="shared" si="0"/>
        <v>-2.4266818523024359E-2</v>
      </c>
      <c r="F13" s="48" t="s">
        <v>377</v>
      </c>
      <c r="G13" s="5" t="s">
        <v>394</v>
      </c>
    </row>
    <row r="14" spans="2:7" ht="20.25" customHeight="1" x14ac:dyDescent="0.45">
      <c r="B14" s="47">
        <v>9</v>
      </c>
      <c r="C14" s="16" t="s">
        <v>395</v>
      </c>
      <c r="D14" s="28">
        <v>-3500</v>
      </c>
      <c r="E14" s="23">
        <f t="shared" si="0"/>
        <v>-1.1324515310744699E-2</v>
      </c>
      <c r="F14" s="49" t="s">
        <v>382</v>
      </c>
      <c r="G14" s="5" t="s">
        <v>396</v>
      </c>
    </row>
    <row r="15" spans="2:7" ht="20.25" customHeight="1" x14ac:dyDescent="0.45">
      <c r="B15" s="47">
        <v>10</v>
      </c>
      <c r="C15" s="16" t="s">
        <v>397</v>
      </c>
      <c r="D15" s="28">
        <v>1000</v>
      </c>
      <c r="E15" s="23">
        <f t="shared" si="0"/>
        <v>3.2355758030699145E-3</v>
      </c>
      <c r="F15" s="50" t="s">
        <v>385</v>
      </c>
      <c r="G15" s="5" t="s">
        <v>398</v>
      </c>
    </row>
    <row r="16" spans="2:7" ht="20.25" customHeight="1" x14ac:dyDescent="0.45">
      <c r="B16" s="47">
        <v>11</v>
      </c>
      <c r="C16" s="16" t="s">
        <v>399</v>
      </c>
      <c r="D16" s="28">
        <v>5000</v>
      </c>
      <c r="E16" s="23">
        <f t="shared" si="0"/>
        <v>1.6177879015349571E-2</v>
      </c>
      <c r="F16" s="50" t="s">
        <v>385</v>
      </c>
      <c r="G16" s="5" t="s">
        <v>400</v>
      </c>
    </row>
    <row r="17" spans="2:7" ht="20.25" customHeight="1" x14ac:dyDescent="0.45">
      <c r="B17" s="47">
        <v>12</v>
      </c>
      <c r="C17" s="16" t="s">
        <v>401</v>
      </c>
      <c r="D17" s="28">
        <v>-6500</v>
      </c>
      <c r="E17" s="23">
        <f t="shared" si="0"/>
        <v>-2.1031242719954442E-2</v>
      </c>
      <c r="F17" s="49" t="s">
        <v>382</v>
      </c>
      <c r="G17" s="5" t="s">
        <v>402</v>
      </c>
    </row>
    <row r="18" spans="2:7" ht="15" customHeight="1" x14ac:dyDescent="0.45">
      <c r="B18" s="47">
        <v>13</v>
      </c>
      <c r="C18" s="16" t="s">
        <v>403</v>
      </c>
      <c r="D18" s="28">
        <v>-209</v>
      </c>
      <c r="E18" s="23">
        <f t="shared" si="0"/>
        <v>-6.7623534284161205E-4</v>
      </c>
      <c r="F18" s="49" t="s">
        <v>382</v>
      </c>
      <c r="G18" s="5" t="s">
        <v>404</v>
      </c>
    </row>
    <row r="19" spans="2:7" ht="20.25" customHeight="1" x14ac:dyDescent="0.45">
      <c r="B19" s="46" t="s">
        <v>405</v>
      </c>
      <c r="C19" s="2" t="s">
        <v>406</v>
      </c>
      <c r="D19" s="51">
        <f>D5+SUM(D6:D18)</f>
        <v>279355</v>
      </c>
      <c r="E19" s="34">
        <f>D19/$D$5-1</f>
        <v>-9.612572153340404E-2</v>
      </c>
      <c r="F19" s="52" t="s">
        <v>407</v>
      </c>
      <c r="G19" s="5" t="s">
        <v>408</v>
      </c>
    </row>
    <row r="21" spans="2:7" ht="20.25" customHeight="1" x14ac:dyDescent="0.45">
      <c r="B21" s="45" t="s">
        <v>163</v>
      </c>
      <c r="C21" s="2" t="s">
        <v>409</v>
      </c>
      <c r="D21" s="53" t="s">
        <v>410</v>
      </c>
      <c r="E21" s="54" t="s">
        <v>411</v>
      </c>
      <c r="F21" s="33" t="s">
        <v>412</v>
      </c>
      <c r="G21" s="5" t="s">
        <v>413</v>
      </c>
    </row>
    <row r="23" spans="2:7" ht="15" customHeight="1" x14ac:dyDescent="0.45">
      <c r="B23" s="121" t="s">
        <v>414</v>
      </c>
      <c r="C23" s="121"/>
      <c r="D23" s="121"/>
      <c r="E23" s="121"/>
      <c r="F23" s="121"/>
      <c r="G23" s="121"/>
    </row>
    <row r="24" spans="2:7" ht="15" customHeight="1" x14ac:dyDescent="0.45">
      <c r="B24" s="125" t="s">
        <v>415</v>
      </c>
      <c r="C24" s="125"/>
      <c r="D24" s="125"/>
      <c r="E24" s="125"/>
      <c r="F24" s="125"/>
      <c r="G24" s="125"/>
    </row>
    <row r="25" spans="2:7" ht="27.75" customHeight="1" x14ac:dyDescent="0.45">
      <c r="B25" s="118" t="s">
        <v>416</v>
      </c>
      <c r="C25" s="118"/>
      <c r="D25" s="118"/>
      <c r="E25" s="118"/>
      <c r="F25" s="118"/>
      <c r="G25" s="118"/>
    </row>
    <row r="26" spans="2:7" ht="27.75" customHeight="1" x14ac:dyDescent="0.45">
      <c r="B26" s="118" t="s">
        <v>417</v>
      </c>
      <c r="C26" s="118"/>
      <c r="D26" s="118"/>
      <c r="E26" s="118"/>
      <c r="F26" s="118"/>
      <c r="G26" s="118"/>
    </row>
    <row r="27" spans="2:7" ht="27.75" customHeight="1" x14ac:dyDescent="0.45">
      <c r="B27" s="118" t="s">
        <v>418</v>
      </c>
      <c r="C27" s="118"/>
      <c r="D27" s="118"/>
      <c r="E27" s="118"/>
      <c r="F27" s="118"/>
      <c r="G27" s="118"/>
    </row>
    <row r="28" spans="2:7" ht="27.75" customHeight="1" x14ac:dyDescent="0.45">
      <c r="B28" s="118" t="s">
        <v>419</v>
      </c>
      <c r="C28" s="118"/>
      <c r="D28" s="118"/>
      <c r="E28" s="118"/>
      <c r="F28" s="118"/>
      <c r="G28" s="118"/>
    </row>
    <row r="29" spans="2:7" ht="27.75" customHeight="1" x14ac:dyDescent="0.45">
      <c r="B29" s="118" t="s">
        <v>420</v>
      </c>
      <c r="C29" s="118"/>
      <c r="D29" s="118"/>
      <c r="E29" s="118"/>
      <c r="F29" s="118"/>
      <c r="G29" s="118"/>
    </row>
    <row r="30" spans="2:7" ht="27.75" customHeight="1" x14ac:dyDescent="0.45">
      <c r="B30" s="118" t="s">
        <v>421</v>
      </c>
      <c r="C30" s="118"/>
      <c r="D30" s="118"/>
      <c r="E30" s="118"/>
      <c r="F30" s="118"/>
      <c r="G30" s="118"/>
    </row>
  </sheetData>
  <mergeCells count="10">
    <mergeCell ref="B1:G1"/>
    <mergeCell ref="B2:G2"/>
    <mergeCell ref="B23:G23"/>
    <mergeCell ref="B24:G24"/>
    <mergeCell ref="B25:G25"/>
    <mergeCell ref="B26:G26"/>
    <mergeCell ref="B27:G27"/>
    <mergeCell ref="B28:G28"/>
    <mergeCell ref="B29:G29"/>
    <mergeCell ref="B30:G30"/>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5"/>
  <sheetViews>
    <sheetView showGridLines="0" topLeftCell="A4" zoomScale="91" zoomScaleNormal="100" workbookViewId="0"/>
  </sheetViews>
  <sheetFormatPr defaultColWidth="8.6640625" defaultRowHeight="14.25" x14ac:dyDescent="0.45"/>
  <cols>
    <col min="1" max="1" width="2" customWidth="1"/>
    <col min="2" max="2" width="22" customWidth="1"/>
    <col min="3" max="3" width="18" customWidth="1"/>
    <col min="4" max="4" width="14" customWidth="1"/>
    <col min="5" max="6" width="16" customWidth="1"/>
    <col min="7" max="7" width="14" customWidth="1"/>
    <col min="8" max="8" width="18" customWidth="1"/>
    <col min="9" max="9" width="12" customWidth="1"/>
    <col min="10" max="10" width="48" customWidth="1"/>
  </cols>
  <sheetData>
    <row r="1" spans="2:10" ht="24" customHeight="1" x14ac:dyDescent="0.45">
      <c r="B1" s="120" t="s">
        <v>422</v>
      </c>
      <c r="C1" s="120"/>
      <c r="D1" s="120"/>
      <c r="E1" s="120"/>
      <c r="F1" s="120"/>
      <c r="G1" s="120"/>
      <c r="H1" s="120"/>
      <c r="I1" s="120"/>
      <c r="J1" s="120"/>
    </row>
    <row r="2" spans="2:10" ht="49.5" customHeight="1" x14ac:dyDescent="0.45">
      <c r="B2" s="118" t="s">
        <v>423</v>
      </c>
      <c r="C2" s="118"/>
      <c r="D2" s="118"/>
      <c r="E2" s="118"/>
      <c r="F2" s="118"/>
      <c r="G2" s="118"/>
      <c r="H2" s="118"/>
      <c r="I2" s="118"/>
      <c r="J2" s="118"/>
    </row>
    <row r="4" spans="2:10" ht="36" customHeight="1" x14ac:dyDescent="0.45">
      <c r="B4" s="14" t="s">
        <v>424</v>
      </c>
      <c r="C4" s="14" t="s">
        <v>425</v>
      </c>
      <c r="D4" s="14" t="s">
        <v>426</v>
      </c>
      <c r="E4" s="14" t="s">
        <v>427</v>
      </c>
      <c r="F4" s="14" t="s">
        <v>428</v>
      </c>
      <c r="G4" s="14" t="s">
        <v>429</v>
      </c>
      <c r="H4" s="14" t="s">
        <v>430</v>
      </c>
      <c r="I4" s="14" t="s">
        <v>431</v>
      </c>
      <c r="J4" s="14" t="s">
        <v>35</v>
      </c>
    </row>
    <row r="5" spans="2:10" ht="30" customHeight="1" x14ac:dyDescent="0.45">
      <c r="B5" s="16" t="s">
        <v>432</v>
      </c>
      <c r="C5" s="16" t="s">
        <v>433</v>
      </c>
      <c r="D5" s="33" t="s">
        <v>434</v>
      </c>
      <c r="E5" s="28">
        <v>69900</v>
      </c>
      <c r="F5" s="38">
        <f t="shared" ref="F5:F17" si="0">E5*H5</f>
        <v>45435</v>
      </c>
      <c r="G5" s="33" t="s">
        <v>435</v>
      </c>
      <c r="H5" s="22">
        <v>0.65</v>
      </c>
      <c r="I5" s="48" t="s">
        <v>377</v>
      </c>
      <c r="J5" s="5" t="s">
        <v>436</v>
      </c>
    </row>
    <row r="6" spans="2:10" ht="20.25" customHeight="1" x14ac:dyDescent="0.45">
      <c r="B6" s="16" t="s">
        <v>432</v>
      </c>
      <c r="C6" s="16" t="s">
        <v>437</v>
      </c>
      <c r="D6" s="33" t="s">
        <v>434</v>
      </c>
      <c r="E6" s="28">
        <v>31800</v>
      </c>
      <c r="F6" s="38">
        <f t="shared" si="0"/>
        <v>19080</v>
      </c>
      <c r="G6" s="33" t="s">
        <v>435</v>
      </c>
      <c r="H6" s="22">
        <v>0.6</v>
      </c>
      <c r="I6" s="48" t="s">
        <v>377</v>
      </c>
      <c r="J6" s="5" t="s">
        <v>438</v>
      </c>
    </row>
    <row r="7" spans="2:10" ht="20.25" customHeight="1" x14ac:dyDescent="0.45">
      <c r="B7" s="16" t="s">
        <v>432</v>
      </c>
      <c r="C7" s="16" t="s">
        <v>439</v>
      </c>
      <c r="D7" s="33" t="s">
        <v>440</v>
      </c>
      <c r="E7" s="28">
        <v>6400</v>
      </c>
      <c r="F7" s="38">
        <f t="shared" si="0"/>
        <v>4480</v>
      </c>
      <c r="G7" s="33" t="s">
        <v>441</v>
      </c>
      <c r="H7" s="22">
        <v>0.7</v>
      </c>
      <c r="I7" s="48" t="s">
        <v>377</v>
      </c>
      <c r="J7" s="5" t="s">
        <v>442</v>
      </c>
    </row>
    <row r="8" spans="2:10" ht="20.25" customHeight="1" x14ac:dyDescent="0.45">
      <c r="B8" s="16" t="s">
        <v>432</v>
      </c>
      <c r="C8" s="16" t="s">
        <v>443</v>
      </c>
      <c r="D8" s="33" t="s">
        <v>440</v>
      </c>
      <c r="E8" s="28">
        <v>5100</v>
      </c>
      <c r="F8" s="38">
        <f t="shared" si="0"/>
        <v>3315</v>
      </c>
      <c r="G8" s="33" t="s">
        <v>441</v>
      </c>
      <c r="H8" s="22">
        <v>0.65</v>
      </c>
      <c r="I8" s="48" t="s">
        <v>377</v>
      </c>
      <c r="J8" s="5" t="s">
        <v>444</v>
      </c>
    </row>
    <row r="9" spans="2:10" ht="20.25" customHeight="1" x14ac:dyDescent="0.45">
      <c r="B9" s="16" t="s">
        <v>432</v>
      </c>
      <c r="C9" s="16" t="s">
        <v>445</v>
      </c>
      <c r="D9" s="33" t="s">
        <v>446</v>
      </c>
      <c r="E9" s="28">
        <v>5100</v>
      </c>
      <c r="F9" s="38">
        <f t="shared" si="0"/>
        <v>3060</v>
      </c>
      <c r="G9" s="33" t="s">
        <v>447</v>
      </c>
      <c r="H9" s="22">
        <v>0.6</v>
      </c>
      <c r="I9" s="48" t="s">
        <v>377</v>
      </c>
      <c r="J9" s="5" t="s">
        <v>448</v>
      </c>
    </row>
    <row r="10" spans="2:10" ht="20.25" customHeight="1" x14ac:dyDescent="0.45">
      <c r="B10" s="16" t="s">
        <v>432</v>
      </c>
      <c r="C10" s="16" t="s">
        <v>449</v>
      </c>
      <c r="D10" s="33" t="s">
        <v>440</v>
      </c>
      <c r="E10" s="28">
        <v>3800</v>
      </c>
      <c r="F10" s="38">
        <f t="shared" si="0"/>
        <v>2850</v>
      </c>
      <c r="G10" s="33" t="s">
        <v>440</v>
      </c>
      <c r="H10" s="22">
        <v>0.75</v>
      </c>
      <c r="I10" s="48" t="s">
        <v>377</v>
      </c>
      <c r="J10" s="5" t="s">
        <v>450</v>
      </c>
    </row>
    <row r="11" spans="2:10" ht="20.25" customHeight="1" x14ac:dyDescent="0.45">
      <c r="B11" s="16" t="s">
        <v>451</v>
      </c>
      <c r="C11" s="16" t="s">
        <v>452</v>
      </c>
      <c r="D11" s="33" t="s">
        <v>435</v>
      </c>
      <c r="E11" s="28">
        <v>22093</v>
      </c>
      <c r="F11" s="38">
        <f t="shared" si="0"/>
        <v>15465.099999999999</v>
      </c>
      <c r="G11" s="33" t="s">
        <v>453</v>
      </c>
      <c r="H11" s="22">
        <v>0.7</v>
      </c>
      <c r="I11" s="49" t="s">
        <v>382</v>
      </c>
      <c r="J11" s="5" t="s">
        <v>454</v>
      </c>
    </row>
    <row r="12" spans="2:10" ht="20.25" customHeight="1" x14ac:dyDescent="0.45">
      <c r="B12" s="16" t="s">
        <v>455</v>
      </c>
      <c r="C12" s="16" t="s">
        <v>433</v>
      </c>
      <c r="D12" s="33" t="s">
        <v>435</v>
      </c>
      <c r="E12" s="28">
        <v>41000</v>
      </c>
      <c r="F12" s="38">
        <f t="shared" si="0"/>
        <v>22550.000000000004</v>
      </c>
      <c r="G12" s="33" t="s">
        <v>456</v>
      </c>
      <c r="H12" s="22">
        <v>0.55000000000000004</v>
      </c>
      <c r="I12" s="49" t="s">
        <v>382</v>
      </c>
      <c r="J12" s="5" t="s">
        <v>457</v>
      </c>
    </row>
    <row r="13" spans="2:10" ht="20.25" customHeight="1" x14ac:dyDescent="0.45">
      <c r="B13" s="16" t="s">
        <v>455</v>
      </c>
      <c r="C13" s="16" t="s">
        <v>458</v>
      </c>
      <c r="D13" s="33" t="s">
        <v>435</v>
      </c>
      <c r="E13" s="28">
        <v>39000</v>
      </c>
      <c r="F13" s="38">
        <f t="shared" si="0"/>
        <v>19500</v>
      </c>
      <c r="G13" s="33" t="s">
        <v>456</v>
      </c>
      <c r="H13" s="22">
        <v>0.5</v>
      </c>
      <c r="I13" s="49" t="s">
        <v>382</v>
      </c>
      <c r="J13" s="5" t="s">
        <v>459</v>
      </c>
    </row>
    <row r="14" spans="2:10" ht="20.25" customHeight="1" x14ac:dyDescent="0.45">
      <c r="B14" s="16" t="s">
        <v>460</v>
      </c>
      <c r="C14" s="16" t="s">
        <v>452</v>
      </c>
      <c r="D14" s="33" t="s">
        <v>461</v>
      </c>
      <c r="E14" s="28">
        <v>9500</v>
      </c>
      <c r="F14" s="38">
        <f t="shared" si="0"/>
        <v>2850</v>
      </c>
      <c r="G14" s="33" t="s">
        <v>462</v>
      </c>
      <c r="H14" s="22">
        <v>0.3</v>
      </c>
      <c r="I14" s="50" t="s">
        <v>385</v>
      </c>
      <c r="J14" s="5" t="s">
        <v>463</v>
      </c>
    </row>
    <row r="15" spans="2:10" ht="20.25" customHeight="1" x14ac:dyDescent="0.45">
      <c r="B15" s="16" t="s">
        <v>464</v>
      </c>
      <c r="C15" s="16" t="s">
        <v>452</v>
      </c>
      <c r="D15" s="33" t="s">
        <v>465</v>
      </c>
      <c r="E15" s="28">
        <v>3020</v>
      </c>
      <c r="F15" s="38">
        <f t="shared" si="0"/>
        <v>2869</v>
      </c>
      <c r="G15" s="33" t="s">
        <v>466</v>
      </c>
      <c r="H15" s="22">
        <v>0.95</v>
      </c>
      <c r="I15" s="48" t="s">
        <v>377</v>
      </c>
      <c r="J15" s="5" t="s">
        <v>467</v>
      </c>
    </row>
    <row r="16" spans="2:10" ht="30" customHeight="1" x14ac:dyDescent="0.45">
      <c r="B16" s="16" t="s">
        <v>468</v>
      </c>
      <c r="C16" s="16" t="s">
        <v>452</v>
      </c>
      <c r="D16" s="33" t="s">
        <v>469</v>
      </c>
      <c r="E16" s="28">
        <v>53137</v>
      </c>
      <c r="F16" s="38">
        <f t="shared" si="0"/>
        <v>5313.7000000000007</v>
      </c>
      <c r="G16" s="33" t="s">
        <v>470</v>
      </c>
      <c r="H16" s="22">
        <v>0.1</v>
      </c>
      <c r="I16" s="50" t="s">
        <v>385</v>
      </c>
      <c r="J16" s="5" t="s">
        <v>471</v>
      </c>
    </row>
    <row r="17" spans="2:11" ht="20.25" customHeight="1" x14ac:dyDescent="0.45">
      <c r="B17" s="16" t="s">
        <v>472</v>
      </c>
      <c r="C17" s="16" t="s">
        <v>452</v>
      </c>
      <c r="D17" s="33" t="s">
        <v>469</v>
      </c>
      <c r="E17" s="28">
        <v>19608</v>
      </c>
      <c r="F17" s="38">
        <f t="shared" si="0"/>
        <v>1960.8000000000002</v>
      </c>
      <c r="G17" s="33" t="s">
        <v>469</v>
      </c>
      <c r="H17" s="22">
        <v>0.1</v>
      </c>
      <c r="I17" s="50" t="s">
        <v>385</v>
      </c>
      <c r="J17" s="5" t="s">
        <v>473</v>
      </c>
    </row>
    <row r="18" spans="2:11" ht="20.25" customHeight="1" x14ac:dyDescent="0.45">
      <c r="B18" s="2" t="s">
        <v>362</v>
      </c>
      <c r="E18" s="51">
        <f>SUM(E5:E17)</f>
        <v>309458</v>
      </c>
      <c r="F18" s="55">
        <f>SUM(F5:F17)</f>
        <v>148728.6</v>
      </c>
      <c r="J18" s="5" t="s">
        <v>474</v>
      </c>
    </row>
    <row r="20" spans="2:11" ht="20.25" customHeight="1" x14ac:dyDescent="0.45">
      <c r="B20" s="126" t="s">
        <v>475</v>
      </c>
      <c r="C20" s="126"/>
      <c r="D20" s="126"/>
      <c r="E20" s="126"/>
      <c r="F20" s="56">
        <f>F18/309064</f>
        <v>0.48122265938446407</v>
      </c>
      <c r="J20" s="5" t="s">
        <v>476</v>
      </c>
    </row>
    <row r="22" spans="2:11" ht="15" customHeight="1" x14ac:dyDescent="0.45">
      <c r="B22" s="121" t="s">
        <v>477</v>
      </c>
      <c r="C22" s="121"/>
      <c r="D22" s="121"/>
      <c r="E22" s="121"/>
      <c r="F22" s="121"/>
      <c r="G22" s="121"/>
      <c r="H22" s="121"/>
      <c r="I22" s="121"/>
      <c r="J22" s="121"/>
    </row>
    <row r="23" spans="2:11" ht="15" customHeight="1" x14ac:dyDescent="0.45">
      <c r="B23" s="14" t="s">
        <v>478</v>
      </c>
      <c r="C23" s="14" t="s">
        <v>440</v>
      </c>
      <c r="D23" s="14" t="s">
        <v>479</v>
      </c>
      <c r="E23" s="14" t="s">
        <v>480</v>
      </c>
      <c r="F23" s="14" t="s">
        <v>481</v>
      </c>
      <c r="G23" s="14" t="s">
        <v>482</v>
      </c>
      <c r="H23" s="14" t="s">
        <v>434</v>
      </c>
      <c r="I23" s="14" t="s">
        <v>453</v>
      </c>
      <c r="J23" s="14" t="s">
        <v>483</v>
      </c>
      <c r="K23" s="14" t="s">
        <v>484</v>
      </c>
    </row>
    <row r="24" spans="2:11" ht="15" customHeight="1" x14ac:dyDescent="0.45">
      <c r="B24" s="2" t="s">
        <v>485</v>
      </c>
      <c r="C24" s="22">
        <v>0.03</v>
      </c>
      <c r="D24" s="22">
        <v>7.0000000000000007E-2</v>
      </c>
      <c r="E24" s="22">
        <v>0.1</v>
      </c>
      <c r="F24" s="22">
        <v>0.15</v>
      </c>
      <c r="G24" s="22">
        <v>0.22</v>
      </c>
      <c r="H24" s="22">
        <v>0.45</v>
      </c>
      <c r="I24" s="22">
        <v>0.65</v>
      </c>
      <c r="J24" s="22">
        <v>0.8</v>
      </c>
      <c r="K24" s="22">
        <v>0.92</v>
      </c>
    </row>
    <row r="25" spans="2:11" ht="15" customHeight="1" x14ac:dyDescent="0.45">
      <c r="B25" s="2" t="s">
        <v>486</v>
      </c>
      <c r="C25" s="57">
        <f t="shared" ref="C25:K25" si="1">$F$18*C24</f>
        <v>4461.8580000000002</v>
      </c>
      <c r="D25" s="57">
        <f t="shared" si="1"/>
        <v>10411.002000000002</v>
      </c>
      <c r="E25" s="57">
        <f t="shared" si="1"/>
        <v>14872.86</v>
      </c>
      <c r="F25" s="57">
        <f t="shared" si="1"/>
        <v>22309.29</v>
      </c>
      <c r="G25" s="57">
        <f t="shared" si="1"/>
        <v>32720.292000000001</v>
      </c>
      <c r="H25" s="57">
        <f t="shared" si="1"/>
        <v>66927.87000000001</v>
      </c>
      <c r="I25" s="57">
        <f t="shared" si="1"/>
        <v>96673.590000000011</v>
      </c>
      <c r="J25" s="57">
        <f t="shared" si="1"/>
        <v>118982.88</v>
      </c>
      <c r="K25" s="57">
        <f t="shared" si="1"/>
        <v>136830.31200000001</v>
      </c>
    </row>
    <row r="27" spans="2:11" ht="15" customHeight="1" x14ac:dyDescent="0.45">
      <c r="B27" s="121" t="s">
        <v>487</v>
      </c>
      <c r="C27" s="121"/>
      <c r="D27" s="121"/>
      <c r="E27" s="121"/>
      <c r="F27" s="121"/>
      <c r="G27" s="121"/>
      <c r="H27" s="121"/>
      <c r="I27" s="121"/>
      <c r="J27" s="121"/>
    </row>
    <row r="28" spans="2:11" ht="24" customHeight="1" x14ac:dyDescent="0.45">
      <c r="B28" s="118" t="s">
        <v>488</v>
      </c>
      <c r="C28" s="118"/>
      <c r="D28" s="118"/>
      <c r="E28" s="118"/>
      <c r="F28" s="118"/>
      <c r="G28" s="118"/>
      <c r="H28" s="118"/>
      <c r="I28" s="118"/>
      <c r="J28" s="118"/>
    </row>
    <row r="29" spans="2:11" ht="24" customHeight="1" x14ac:dyDescent="0.45">
      <c r="B29" s="118" t="s">
        <v>489</v>
      </c>
      <c r="C29" s="118"/>
      <c r="D29" s="118"/>
      <c r="E29" s="118"/>
      <c r="F29" s="118"/>
      <c r="G29" s="118"/>
      <c r="H29" s="118"/>
      <c r="I29" s="118"/>
      <c r="J29" s="118"/>
    </row>
    <row r="30" spans="2:11" ht="24" customHeight="1" x14ac:dyDescent="0.45">
      <c r="B30" s="118" t="s">
        <v>490</v>
      </c>
      <c r="C30" s="118"/>
      <c r="D30" s="118"/>
      <c r="E30" s="118"/>
      <c r="F30" s="118"/>
      <c r="G30" s="118"/>
      <c r="H30" s="118"/>
      <c r="I30" s="118"/>
      <c r="J30" s="118"/>
    </row>
    <row r="31" spans="2:11" ht="24" customHeight="1" x14ac:dyDescent="0.45">
      <c r="B31" s="118" t="s">
        <v>491</v>
      </c>
      <c r="C31" s="118"/>
      <c r="D31" s="118"/>
      <c r="E31" s="118"/>
      <c r="F31" s="118"/>
      <c r="G31" s="118"/>
      <c r="H31" s="118"/>
      <c r="I31" s="118"/>
      <c r="J31" s="118"/>
    </row>
    <row r="32" spans="2:11" ht="24" customHeight="1" x14ac:dyDescent="0.45">
      <c r="B32" s="118" t="s">
        <v>492</v>
      </c>
      <c r="C32" s="118"/>
      <c r="D32" s="118"/>
      <c r="E32" s="118"/>
      <c r="F32" s="118"/>
      <c r="G32" s="118"/>
      <c r="H32" s="118"/>
      <c r="I32" s="118"/>
      <c r="J32" s="118"/>
    </row>
    <row r="33" spans="2:10" ht="24" customHeight="1" x14ac:dyDescent="0.45">
      <c r="B33" s="118" t="s">
        <v>493</v>
      </c>
      <c r="C33" s="118"/>
      <c r="D33" s="118"/>
      <c r="E33" s="118"/>
      <c r="F33" s="118"/>
      <c r="G33" s="118"/>
      <c r="H33" s="118"/>
      <c r="I33" s="118"/>
      <c r="J33" s="118"/>
    </row>
    <row r="34" spans="2:10" ht="24" customHeight="1" x14ac:dyDescent="0.45">
      <c r="B34" s="118" t="s">
        <v>494</v>
      </c>
      <c r="C34" s="118"/>
      <c r="D34" s="118"/>
      <c r="E34" s="118"/>
      <c r="F34" s="118"/>
      <c r="G34" s="118"/>
      <c r="H34" s="118"/>
      <c r="I34" s="118"/>
      <c r="J34" s="118"/>
    </row>
    <row r="35" spans="2:10" ht="24" customHeight="1" x14ac:dyDescent="0.45">
      <c r="B35" s="118" t="s">
        <v>495</v>
      </c>
      <c r="C35" s="118"/>
      <c r="D35" s="118"/>
      <c r="E35" s="118"/>
      <c r="F35" s="118"/>
      <c r="G35" s="118"/>
      <c r="H35" s="118"/>
      <c r="I35" s="118"/>
      <c r="J35" s="118"/>
    </row>
  </sheetData>
  <mergeCells count="13">
    <mergeCell ref="B1:J1"/>
    <mergeCell ref="B2:J2"/>
    <mergeCell ref="B20:E20"/>
    <mergeCell ref="B22:J22"/>
    <mergeCell ref="B27:J27"/>
    <mergeCell ref="B33:J33"/>
    <mergeCell ref="B34:J34"/>
    <mergeCell ref="B35:J35"/>
    <mergeCell ref="B28:J28"/>
    <mergeCell ref="B29:J29"/>
    <mergeCell ref="B30:J30"/>
    <mergeCell ref="B31:J31"/>
    <mergeCell ref="B32:J32"/>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3"/>
  <sheetViews>
    <sheetView showGridLines="0" zoomScaleNormal="100" workbookViewId="0"/>
  </sheetViews>
  <sheetFormatPr defaultColWidth="8.6640625" defaultRowHeight="14.25" x14ac:dyDescent="0.45"/>
  <cols>
    <col min="1" max="1" width="2" customWidth="1"/>
    <col min="2" max="2" width="26" customWidth="1"/>
    <col min="3" max="4" width="22" customWidth="1"/>
    <col min="5" max="5" width="12" customWidth="1"/>
    <col min="6" max="6" width="18" customWidth="1"/>
    <col min="7" max="7" width="10" customWidth="1"/>
    <col min="8" max="9" width="14" customWidth="1"/>
    <col min="10" max="10" width="48" customWidth="1"/>
  </cols>
  <sheetData>
    <row r="1" spans="2:10" ht="24" customHeight="1" x14ac:dyDescent="0.45">
      <c r="B1" s="120" t="s">
        <v>496</v>
      </c>
      <c r="C1" s="120"/>
      <c r="D1" s="120"/>
      <c r="E1" s="120"/>
      <c r="F1" s="120"/>
      <c r="G1" s="120"/>
      <c r="H1" s="120"/>
      <c r="I1" s="120"/>
      <c r="J1" s="120"/>
    </row>
    <row r="2" spans="2:10" ht="42" customHeight="1" x14ac:dyDescent="0.45">
      <c r="B2" s="118" t="s">
        <v>497</v>
      </c>
      <c r="C2" s="118"/>
      <c r="D2" s="118"/>
      <c r="E2" s="118"/>
      <c r="F2" s="118"/>
      <c r="G2" s="118"/>
      <c r="H2" s="118"/>
      <c r="I2" s="118"/>
      <c r="J2" s="118"/>
    </row>
    <row r="4" spans="2:10" ht="31.5" customHeight="1" x14ac:dyDescent="0.45">
      <c r="B4" s="4" t="s">
        <v>498</v>
      </c>
      <c r="C4" s="4" t="s">
        <v>499</v>
      </c>
      <c r="D4" s="4" t="s">
        <v>500</v>
      </c>
      <c r="E4" s="4" t="s">
        <v>501</v>
      </c>
      <c r="F4" s="4" t="s">
        <v>502</v>
      </c>
      <c r="G4" s="4" t="s">
        <v>503</v>
      </c>
      <c r="H4" s="4" t="s">
        <v>504</v>
      </c>
      <c r="I4" s="4" t="s">
        <v>505</v>
      </c>
      <c r="J4" s="4" t="s">
        <v>35</v>
      </c>
    </row>
    <row r="5" spans="2:10" ht="51" customHeight="1" x14ac:dyDescent="0.45">
      <c r="B5" s="58" t="s">
        <v>506</v>
      </c>
      <c r="C5" s="59" t="s">
        <v>507</v>
      </c>
      <c r="D5" s="59" t="s">
        <v>508</v>
      </c>
      <c r="E5" s="60" t="s">
        <v>509</v>
      </c>
      <c r="F5" s="60" t="s">
        <v>510</v>
      </c>
      <c r="G5" s="61">
        <v>0.6</v>
      </c>
      <c r="H5" s="62">
        <v>8</v>
      </c>
      <c r="I5" s="63">
        <f t="shared" ref="I5:I28" si="0">G5*H5</f>
        <v>4.8</v>
      </c>
      <c r="J5" s="5" t="s">
        <v>511</v>
      </c>
    </row>
    <row r="6" spans="2:10" ht="36" customHeight="1" x14ac:dyDescent="0.45">
      <c r="B6" s="64" t="s">
        <v>460</v>
      </c>
      <c r="C6" s="65" t="s">
        <v>512</v>
      </c>
      <c r="D6" s="65" t="s">
        <v>513</v>
      </c>
      <c r="E6" s="66" t="s">
        <v>514</v>
      </c>
      <c r="F6" s="66" t="s">
        <v>515</v>
      </c>
      <c r="G6" s="67">
        <v>0.95</v>
      </c>
      <c r="H6" s="68">
        <v>22</v>
      </c>
      <c r="I6" s="69">
        <f t="shared" si="0"/>
        <v>20.9</v>
      </c>
      <c r="J6" s="5" t="s">
        <v>516</v>
      </c>
    </row>
    <row r="7" spans="2:10" ht="36" customHeight="1" x14ac:dyDescent="0.45">
      <c r="B7" s="64" t="s">
        <v>517</v>
      </c>
      <c r="C7" s="65" t="s">
        <v>518</v>
      </c>
      <c r="D7" s="65" t="s">
        <v>513</v>
      </c>
      <c r="E7" s="66" t="s">
        <v>519</v>
      </c>
      <c r="F7" s="66" t="s">
        <v>520</v>
      </c>
      <c r="G7" s="67">
        <v>0.95</v>
      </c>
      <c r="H7" s="68">
        <v>8</v>
      </c>
      <c r="I7" s="69">
        <f t="shared" si="0"/>
        <v>7.6</v>
      </c>
      <c r="J7" s="5" t="s">
        <v>521</v>
      </c>
    </row>
    <row r="8" spans="2:10" ht="36" customHeight="1" x14ac:dyDescent="0.45">
      <c r="B8" s="64" t="s">
        <v>522</v>
      </c>
      <c r="C8" s="65" t="s">
        <v>523</v>
      </c>
      <c r="D8" s="65" t="s">
        <v>524</v>
      </c>
      <c r="E8" s="66" t="s">
        <v>525</v>
      </c>
      <c r="F8" s="66" t="s">
        <v>526</v>
      </c>
      <c r="G8" s="67">
        <v>0.75</v>
      </c>
      <c r="H8" s="68">
        <v>5</v>
      </c>
      <c r="I8" s="69">
        <f t="shared" si="0"/>
        <v>3.75</v>
      </c>
      <c r="J8" s="5" t="s">
        <v>527</v>
      </c>
    </row>
    <row r="9" spans="2:10" ht="36" customHeight="1" x14ac:dyDescent="0.45">
      <c r="B9" s="64" t="s">
        <v>528</v>
      </c>
      <c r="C9" s="65" t="s">
        <v>529</v>
      </c>
      <c r="D9" s="65" t="s">
        <v>530</v>
      </c>
      <c r="E9" s="66" t="s">
        <v>531</v>
      </c>
      <c r="F9" s="66" t="s">
        <v>532</v>
      </c>
      <c r="G9" s="67">
        <v>0.95</v>
      </c>
      <c r="H9" s="68">
        <v>4.5</v>
      </c>
      <c r="I9" s="69">
        <f t="shared" si="0"/>
        <v>4.2749999999999995</v>
      </c>
      <c r="J9" s="5" t="s">
        <v>533</v>
      </c>
    </row>
    <row r="10" spans="2:10" ht="36" customHeight="1" x14ac:dyDescent="0.45">
      <c r="B10" s="64" t="s">
        <v>534</v>
      </c>
      <c r="C10" s="65" t="s">
        <v>535</v>
      </c>
      <c r="D10" s="65" t="s">
        <v>536</v>
      </c>
      <c r="E10" s="66" t="s">
        <v>537</v>
      </c>
      <c r="F10" s="66" t="s">
        <v>538</v>
      </c>
      <c r="G10" s="67">
        <v>0.8</v>
      </c>
      <c r="H10" s="68">
        <v>6</v>
      </c>
      <c r="I10" s="69">
        <f t="shared" si="0"/>
        <v>4.8000000000000007</v>
      </c>
      <c r="J10" s="5" t="s">
        <v>539</v>
      </c>
    </row>
    <row r="11" spans="2:10" ht="36" customHeight="1" x14ac:dyDescent="0.45">
      <c r="B11" s="64" t="s">
        <v>540</v>
      </c>
      <c r="C11" s="65" t="s">
        <v>541</v>
      </c>
      <c r="D11" s="65" t="s">
        <v>542</v>
      </c>
      <c r="E11" s="66" t="s">
        <v>543</v>
      </c>
      <c r="F11" s="66" t="s">
        <v>544</v>
      </c>
      <c r="G11" s="67">
        <v>0.85</v>
      </c>
      <c r="H11" s="68">
        <v>5.5</v>
      </c>
      <c r="I11" s="69">
        <f t="shared" si="0"/>
        <v>4.6749999999999998</v>
      </c>
      <c r="J11" s="5" t="s">
        <v>545</v>
      </c>
    </row>
    <row r="12" spans="2:10" ht="36" customHeight="1" x14ac:dyDescent="0.45">
      <c r="B12" s="64" t="s">
        <v>546</v>
      </c>
      <c r="C12" s="65" t="s">
        <v>547</v>
      </c>
      <c r="D12" s="65" t="s">
        <v>548</v>
      </c>
      <c r="E12" s="66" t="s">
        <v>549</v>
      </c>
      <c r="F12" s="66" t="s">
        <v>550</v>
      </c>
      <c r="G12" s="67">
        <v>0.6</v>
      </c>
      <c r="H12" s="68">
        <v>12</v>
      </c>
      <c r="I12" s="69">
        <f t="shared" si="0"/>
        <v>7.1999999999999993</v>
      </c>
      <c r="J12" s="5" t="s">
        <v>551</v>
      </c>
    </row>
    <row r="13" spans="2:10" ht="36" customHeight="1" x14ac:dyDescent="0.45">
      <c r="B13" s="64" t="s">
        <v>552</v>
      </c>
      <c r="C13" s="65" t="s">
        <v>553</v>
      </c>
      <c r="D13" s="65" t="s">
        <v>554</v>
      </c>
      <c r="E13" s="66" t="s">
        <v>555</v>
      </c>
      <c r="F13" s="66" t="s">
        <v>556</v>
      </c>
      <c r="G13" s="67">
        <v>0.7</v>
      </c>
      <c r="H13" s="68">
        <v>18</v>
      </c>
      <c r="I13" s="69">
        <f t="shared" si="0"/>
        <v>12.6</v>
      </c>
      <c r="J13" s="5" t="s">
        <v>557</v>
      </c>
    </row>
    <row r="14" spans="2:10" ht="36" customHeight="1" x14ac:dyDescent="0.45">
      <c r="B14" s="64" t="s">
        <v>558</v>
      </c>
      <c r="C14" s="65" t="s">
        <v>559</v>
      </c>
      <c r="D14" s="65" t="s">
        <v>508</v>
      </c>
      <c r="E14" s="66" t="s">
        <v>560</v>
      </c>
      <c r="F14" s="66" t="s">
        <v>561</v>
      </c>
      <c r="G14" s="67">
        <v>0.55000000000000004</v>
      </c>
      <c r="H14" s="68">
        <v>8</v>
      </c>
      <c r="I14" s="69">
        <f t="shared" si="0"/>
        <v>4.4000000000000004</v>
      </c>
      <c r="J14" s="5" t="s">
        <v>562</v>
      </c>
    </row>
    <row r="15" spans="2:10" ht="36" customHeight="1" x14ac:dyDescent="0.45">
      <c r="B15" s="64" t="s">
        <v>563</v>
      </c>
      <c r="C15" s="65" t="s">
        <v>564</v>
      </c>
      <c r="D15" s="65" t="s">
        <v>565</v>
      </c>
      <c r="E15" s="66" t="s">
        <v>566</v>
      </c>
      <c r="F15" s="66" t="s">
        <v>567</v>
      </c>
      <c r="G15" s="67">
        <v>0.55000000000000004</v>
      </c>
      <c r="H15" s="68">
        <v>6</v>
      </c>
      <c r="I15" s="69">
        <f t="shared" si="0"/>
        <v>3.3000000000000003</v>
      </c>
      <c r="J15" s="5" t="s">
        <v>568</v>
      </c>
    </row>
    <row r="16" spans="2:10" ht="36" customHeight="1" x14ac:dyDescent="0.45">
      <c r="B16" s="70" t="s">
        <v>569</v>
      </c>
      <c r="C16" s="71" t="s">
        <v>570</v>
      </c>
      <c r="D16" s="71" t="s">
        <v>508</v>
      </c>
      <c r="E16" s="72" t="s">
        <v>571</v>
      </c>
      <c r="F16" s="72" t="s">
        <v>556</v>
      </c>
      <c r="G16" s="73">
        <v>0.55000000000000004</v>
      </c>
      <c r="H16" s="74">
        <v>15</v>
      </c>
      <c r="I16" s="75">
        <f t="shared" si="0"/>
        <v>8.25</v>
      </c>
      <c r="J16" s="5" t="s">
        <v>572</v>
      </c>
    </row>
    <row r="17" spans="2:10" ht="36" customHeight="1" x14ac:dyDescent="0.45">
      <c r="B17" s="70" t="s">
        <v>573</v>
      </c>
      <c r="C17" s="71" t="s">
        <v>574</v>
      </c>
      <c r="D17" s="71" t="s">
        <v>508</v>
      </c>
      <c r="E17" s="72" t="s">
        <v>571</v>
      </c>
      <c r="F17" s="72" t="s">
        <v>561</v>
      </c>
      <c r="G17" s="73">
        <v>0.45</v>
      </c>
      <c r="H17" s="74">
        <v>6</v>
      </c>
      <c r="I17" s="75">
        <f t="shared" si="0"/>
        <v>2.7</v>
      </c>
      <c r="J17" s="5" t="s">
        <v>575</v>
      </c>
    </row>
    <row r="18" spans="2:10" ht="36" customHeight="1" x14ac:dyDescent="0.45">
      <c r="B18" s="70" t="s">
        <v>576</v>
      </c>
      <c r="C18" s="71" t="s">
        <v>577</v>
      </c>
      <c r="D18" s="71" t="s">
        <v>578</v>
      </c>
      <c r="E18" s="72" t="s">
        <v>579</v>
      </c>
      <c r="F18" s="72" t="s">
        <v>580</v>
      </c>
      <c r="G18" s="73">
        <v>0.4</v>
      </c>
      <c r="H18" s="74">
        <v>7</v>
      </c>
      <c r="I18" s="75">
        <f t="shared" si="0"/>
        <v>2.8000000000000003</v>
      </c>
      <c r="J18" s="5" t="s">
        <v>581</v>
      </c>
    </row>
    <row r="19" spans="2:10" ht="36" customHeight="1" x14ac:dyDescent="0.45">
      <c r="B19" s="70" t="s">
        <v>582</v>
      </c>
      <c r="C19" s="71" t="s">
        <v>583</v>
      </c>
      <c r="D19" s="71" t="s">
        <v>584</v>
      </c>
      <c r="E19" s="72" t="s">
        <v>585</v>
      </c>
      <c r="F19" s="72" t="s">
        <v>586</v>
      </c>
      <c r="G19" s="73">
        <v>0.3</v>
      </c>
      <c r="H19" s="74">
        <v>3</v>
      </c>
      <c r="I19" s="75">
        <f t="shared" si="0"/>
        <v>0.89999999999999991</v>
      </c>
      <c r="J19" s="5" t="s">
        <v>587</v>
      </c>
    </row>
    <row r="20" spans="2:10" ht="36" customHeight="1" x14ac:dyDescent="0.45">
      <c r="B20" s="70" t="s">
        <v>588</v>
      </c>
      <c r="C20" s="71" t="s">
        <v>589</v>
      </c>
      <c r="D20" s="71" t="s">
        <v>508</v>
      </c>
      <c r="E20" s="72" t="s">
        <v>590</v>
      </c>
      <c r="F20" s="72" t="s">
        <v>591</v>
      </c>
      <c r="G20" s="73">
        <v>0.25</v>
      </c>
      <c r="H20" s="74">
        <v>4</v>
      </c>
      <c r="I20" s="75">
        <f t="shared" si="0"/>
        <v>1</v>
      </c>
      <c r="J20" s="5" t="s">
        <v>592</v>
      </c>
    </row>
    <row r="21" spans="2:10" ht="36" customHeight="1" x14ac:dyDescent="0.45">
      <c r="B21" s="70" t="s">
        <v>593</v>
      </c>
      <c r="C21" s="71" t="s">
        <v>594</v>
      </c>
      <c r="D21" s="71" t="s">
        <v>595</v>
      </c>
      <c r="E21" s="72" t="s">
        <v>596</v>
      </c>
      <c r="F21" s="72" t="s">
        <v>597</v>
      </c>
      <c r="G21" s="73">
        <v>0.4</v>
      </c>
      <c r="H21" s="74">
        <v>5</v>
      </c>
      <c r="I21" s="75">
        <f t="shared" si="0"/>
        <v>2</v>
      </c>
      <c r="J21" s="5" t="s">
        <v>598</v>
      </c>
    </row>
    <row r="22" spans="2:10" ht="36" customHeight="1" x14ac:dyDescent="0.45">
      <c r="B22" s="70" t="s">
        <v>599</v>
      </c>
      <c r="C22" s="71" t="s">
        <v>600</v>
      </c>
      <c r="D22" s="71" t="s">
        <v>601</v>
      </c>
      <c r="E22" s="72" t="s">
        <v>602</v>
      </c>
      <c r="F22" s="72" t="s">
        <v>603</v>
      </c>
      <c r="G22" s="73">
        <v>0.45</v>
      </c>
      <c r="H22" s="74">
        <v>4</v>
      </c>
      <c r="I22" s="75">
        <f t="shared" si="0"/>
        <v>1.8</v>
      </c>
      <c r="J22" s="5" t="s">
        <v>604</v>
      </c>
    </row>
    <row r="23" spans="2:10" ht="36" customHeight="1" x14ac:dyDescent="0.45">
      <c r="B23" s="70" t="s">
        <v>605</v>
      </c>
      <c r="C23" s="71" t="s">
        <v>606</v>
      </c>
      <c r="D23" s="71" t="s">
        <v>607</v>
      </c>
      <c r="E23" s="72" t="s">
        <v>608</v>
      </c>
      <c r="F23" s="72" t="s">
        <v>609</v>
      </c>
      <c r="G23" s="73">
        <v>0.35</v>
      </c>
      <c r="H23" s="74">
        <v>2.5</v>
      </c>
      <c r="I23" s="75">
        <f t="shared" si="0"/>
        <v>0.875</v>
      </c>
      <c r="J23" s="5" t="s">
        <v>610</v>
      </c>
    </row>
    <row r="24" spans="2:10" ht="36" customHeight="1" x14ac:dyDescent="0.45">
      <c r="B24" s="76" t="s">
        <v>611</v>
      </c>
      <c r="C24" s="77" t="s">
        <v>612</v>
      </c>
      <c r="D24" s="77" t="s">
        <v>508</v>
      </c>
      <c r="E24" s="78" t="s">
        <v>613</v>
      </c>
      <c r="F24" s="78" t="s">
        <v>614</v>
      </c>
      <c r="G24" s="79">
        <v>0.2</v>
      </c>
      <c r="H24" s="80">
        <v>3</v>
      </c>
      <c r="I24" s="81">
        <f t="shared" si="0"/>
        <v>0.60000000000000009</v>
      </c>
      <c r="J24" s="5" t="s">
        <v>615</v>
      </c>
    </row>
    <row r="25" spans="2:10" ht="36" customHeight="1" x14ac:dyDescent="0.45">
      <c r="B25" s="76" t="s">
        <v>616</v>
      </c>
      <c r="C25" s="77" t="s">
        <v>617</v>
      </c>
      <c r="D25" s="77" t="s">
        <v>508</v>
      </c>
      <c r="E25" s="78" t="s">
        <v>613</v>
      </c>
      <c r="F25" s="78" t="s">
        <v>618</v>
      </c>
      <c r="G25" s="79">
        <v>0.3</v>
      </c>
      <c r="H25" s="80">
        <v>4</v>
      </c>
      <c r="I25" s="81">
        <f t="shared" si="0"/>
        <v>1.2</v>
      </c>
      <c r="J25" s="5" t="s">
        <v>619</v>
      </c>
    </row>
    <row r="26" spans="2:10" ht="36" customHeight="1" x14ac:dyDescent="0.45">
      <c r="B26" s="76" t="s">
        <v>620</v>
      </c>
      <c r="C26" s="77" t="s">
        <v>621</v>
      </c>
      <c r="D26" s="77" t="s">
        <v>622</v>
      </c>
      <c r="E26" s="78" t="s">
        <v>623</v>
      </c>
      <c r="F26" s="78" t="s">
        <v>561</v>
      </c>
      <c r="G26" s="79">
        <v>0.4</v>
      </c>
      <c r="H26" s="80">
        <v>3</v>
      </c>
      <c r="I26" s="81">
        <f t="shared" si="0"/>
        <v>1.2000000000000002</v>
      </c>
      <c r="J26" s="5" t="s">
        <v>624</v>
      </c>
    </row>
    <row r="27" spans="2:10" ht="36" customHeight="1" x14ac:dyDescent="0.45">
      <c r="B27" s="76" t="s">
        <v>625</v>
      </c>
      <c r="C27" s="77" t="s">
        <v>626</v>
      </c>
      <c r="D27" s="77" t="s">
        <v>530</v>
      </c>
      <c r="E27" s="78" t="s">
        <v>613</v>
      </c>
      <c r="F27" s="78" t="s">
        <v>627</v>
      </c>
      <c r="G27" s="79">
        <v>0.15</v>
      </c>
      <c r="H27" s="80">
        <v>2</v>
      </c>
      <c r="I27" s="81">
        <f t="shared" si="0"/>
        <v>0.3</v>
      </c>
      <c r="J27" s="5" t="s">
        <v>628</v>
      </c>
    </row>
    <row r="28" spans="2:10" ht="36" customHeight="1" x14ac:dyDescent="0.45">
      <c r="B28" s="76" t="s">
        <v>629</v>
      </c>
      <c r="C28" s="77" t="s">
        <v>630</v>
      </c>
      <c r="D28" s="77" t="s">
        <v>508</v>
      </c>
      <c r="E28" s="78" t="s">
        <v>631</v>
      </c>
      <c r="F28" s="78" t="s">
        <v>632</v>
      </c>
      <c r="G28" s="79">
        <v>0.4</v>
      </c>
      <c r="H28" s="80">
        <v>7</v>
      </c>
      <c r="I28" s="81">
        <f t="shared" si="0"/>
        <v>2.8000000000000003</v>
      </c>
      <c r="J28" s="5" t="s">
        <v>633</v>
      </c>
    </row>
    <row r="29" spans="2:10" ht="15" customHeight="1" x14ac:dyDescent="0.45">
      <c r="B29" s="121" t="s">
        <v>634</v>
      </c>
      <c r="C29" s="121"/>
      <c r="D29" s="121"/>
      <c r="E29" s="121"/>
      <c r="F29" s="121"/>
      <c r="G29" s="121"/>
      <c r="H29" s="121"/>
      <c r="I29" s="121"/>
      <c r="J29" s="121"/>
    </row>
    <row r="30" spans="2:10" ht="21.75" customHeight="1" x14ac:dyDescent="0.45">
      <c r="B30" s="2" t="s">
        <v>635</v>
      </c>
      <c r="H30" s="82">
        <f>SUM(H5:H28)</f>
        <v>168.5</v>
      </c>
      <c r="J30" s="5" t="s">
        <v>636</v>
      </c>
    </row>
    <row r="31" spans="2:10" ht="21.75" customHeight="1" x14ac:dyDescent="0.45">
      <c r="B31" s="2" t="s">
        <v>637</v>
      </c>
      <c r="I31" s="83">
        <f>SUM(I5:I28)</f>
        <v>104.72499999999999</v>
      </c>
      <c r="J31" s="5" t="s">
        <v>638</v>
      </c>
    </row>
    <row r="32" spans="2:10" ht="21.75" customHeight="1" x14ac:dyDescent="0.45">
      <c r="B32" s="16" t="s">
        <v>639</v>
      </c>
      <c r="I32" s="84">
        <f>SUM(I6:I15)</f>
        <v>73.5</v>
      </c>
      <c r="J32" s="5" t="s">
        <v>640</v>
      </c>
    </row>
    <row r="33" spans="2:10" ht="21.75" customHeight="1" x14ac:dyDescent="0.45">
      <c r="B33" s="16" t="s">
        <v>641</v>
      </c>
      <c r="I33" s="63">
        <f>I5</f>
        <v>4.8</v>
      </c>
      <c r="J33" s="5" t="s">
        <v>642</v>
      </c>
    </row>
    <row r="35" spans="2:10" ht="15" customHeight="1" x14ac:dyDescent="0.45">
      <c r="B35" s="121" t="s">
        <v>643</v>
      </c>
      <c r="C35" s="121"/>
      <c r="D35" s="121"/>
      <c r="E35" s="121"/>
      <c r="F35" s="121"/>
      <c r="G35" s="121"/>
      <c r="H35" s="121"/>
      <c r="I35" s="121"/>
      <c r="J35" s="121"/>
    </row>
    <row r="36" spans="2:10" ht="25.5" customHeight="1" x14ac:dyDescent="0.45">
      <c r="B36" s="118" t="s">
        <v>644</v>
      </c>
      <c r="C36" s="118"/>
      <c r="D36" s="118"/>
      <c r="E36" s="118"/>
      <c r="F36" s="118"/>
      <c r="G36" s="118"/>
      <c r="H36" s="118"/>
      <c r="I36" s="118"/>
      <c r="J36" s="118"/>
    </row>
    <row r="37" spans="2:10" ht="25.5" customHeight="1" x14ac:dyDescent="0.45">
      <c r="B37" s="118" t="s">
        <v>645</v>
      </c>
      <c r="C37" s="118"/>
      <c r="D37" s="118"/>
      <c r="E37" s="118"/>
      <c r="F37" s="118"/>
      <c r="G37" s="118"/>
      <c r="H37" s="118"/>
      <c r="I37" s="118"/>
      <c r="J37" s="118"/>
    </row>
    <row r="38" spans="2:10" ht="25.5" customHeight="1" x14ac:dyDescent="0.45">
      <c r="B38" s="118" t="s">
        <v>646</v>
      </c>
      <c r="C38" s="118"/>
      <c r="D38" s="118"/>
      <c r="E38" s="118"/>
      <c r="F38" s="118"/>
      <c r="G38" s="118"/>
      <c r="H38" s="118"/>
      <c r="I38" s="118"/>
      <c r="J38" s="118"/>
    </row>
    <row r="39" spans="2:10" ht="25.5" customHeight="1" x14ac:dyDescent="0.45">
      <c r="B39" s="118" t="s">
        <v>647</v>
      </c>
      <c r="C39" s="118"/>
      <c r="D39" s="118"/>
      <c r="E39" s="118"/>
      <c r="F39" s="118"/>
      <c r="G39" s="118"/>
      <c r="H39" s="118"/>
      <c r="I39" s="118"/>
      <c r="J39" s="118"/>
    </row>
    <row r="40" spans="2:10" ht="25.5" customHeight="1" x14ac:dyDescent="0.45">
      <c r="B40" s="118" t="s">
        <v>648</v>
      </c>
      <c r="C40" s="118"/>
      <c r="D40" s="118"/>
      <c r="E40" s="118"/>
      <c r="F40" s="118"/>
      <c r="G40" s="118"/>
      <c r="H40" s="118"/>
      <c r="I40" s="118"/>
      <c r="J40" s="118"/>
    </row>
    <row r="41" spans="2:10" ht="25.5" customHeight="1" x14ac:dyDescent="0.45">
      <c r="B41" s="118" t="s">
        <v>649</v>
      </c>
      <c r="C41" s="118"/>
      <c r="D41" s="118"/>
      <c r="E41" s="118"/>
      <c r="F41" s="118"/>
      <c r="G41" s="118"/>
      <c r="H41" s="118"/>
      <c r="I41" s="118"/>
      <c r="J41" s="118"/>
    </row>
    <row r="42" spans="2:10" ht="25.5" customHeight="1" x14ac:dyDescent="0.45">
      <c r="B42" s="118" t="s">
        <v>650</v>
      </c>
      <c r="C42" s="118"/>
      <c r="D42" s="118"/>
      <c r="E42" s="118"/>
      <c r="F42" s="118"/>
      <c r="G42" s="118"/>
      <c r="H42" s="118"/>
      <c r="I42" s="118"/>
      <c r="J42" s="118"/>
    </row>
    <row r="43" spans="2:10" ht="25.5" customHeight="1" x14ac:dyDescent="0.45">
      <c r="B43" s="118" t="s">
        <v>651</v>
      </c>
      <c r="C43" s="118"/>
      <c r="D43" s="118"/>
      <c r="E43" s="118"/>
      <c r="F43" s="118"/>
      <c r="G43" s="118"/>
      <c r="H43" s="118"/>
      <c r="I43" s="118"/>
      <c r="J43" s="118"/>
    </row>
  </sheetData>
  <mergeCells count="12">
    <mergeCell ref="B1:J1"/>
    <mergeCell ref="B2:J2"/>
    <mergeCell ref="B29:J29"/>
    <mergeCell ref="B35:J35"/>
    <mergeCell ref="B36:J36"/>
    <mergeCell ref="B42:J42"/>
    <mergeCell ref="B43:J43"/>
    <mergeCell ref="B37:J37"/>
    <mergeCell ref="B38:J38"/>
    <mergeCell ref="B39:J39"/>
    <mergeCell ref="B40:J40"/>
    <mergeCell ref="B41:J41"/>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86"/>
  <sheetViews>
    <sheetView showGridLines="0" topLeftCell="A54" zoomScaleNormal="100" workbookViewId="0">
      <selection activeCell="E11" sqref="E11"/>
    </sheetView>
  </sheetViews>
  <sheetFormatPr defaultColWidth="8.6640625" defaultRowHeight="14.25" x14ac:dyDescent="0.45"/>
  <cols>
    <col min="1" max="1" width="2" customWidth="1"/>
    <col min="2" max="2" width="38" customWidth="1"/>
    <col min="3" max="9" width="14" customWidth="1"/>
    <col min="10" max="10" width="40" customWidth="1"/>
  </cols>
  <sheetData>
    <row r="1" spans="2:10" ht="24" customHeight="1" x14ac:dyDescent="0.45">
      <c r="B1" s="120" t="s">
        <v>652</v>
      </c>
      <c r="C1" s="120"/>
      <c r="D1" s="120"/>
      <c r="E1" s="120"/>
      <c r="F1" s="120"/>
      <c r="G1" s="120"/>
      <c r="H1" s="120"/>
      <c r="I1" s="120"/>
      <c r="J1" s="120"/>
    </row>
    <row r="2" spans="2:10" ht="48" customHeight="1" x14ac:dyDescent="0.45">
      <c r="B2" s="118" t="s">
        <v>653</v>
      </c>
      <c r="C2" s="118"/>
      <c r="D2" s="118"/>
      <c r="E2" s="118"/>
      <c r="F2" s="118"/>
      <c r="G2" s="118"/>
      <c r="H2" s="118"/>
      <c r="I2" s="118"/>
      <c r="J2" s="118"/>
    </row>
    <row r="4" spans="2:10" ht="15" customHeight="1" x14ac:dyDescent="0.45">
      <c r="B4" s="121" t="s">
        <v>654</v>
      </c>
      <c r="C4" s="121"/>
      <c r="D4" s="121"/>
      <c r="E4" s="121"/>
      <c r="F4" s="121"/>
      <c r="G4" s="121"/>
      <c r="H4" s="121"/>
      <c r="I4" s="121"/>
      <c r="J4" s="121"/>
    </row>
    <row r="5" spans="2:10" ht="21.75" customHeight="1" x14ac:dyDescent="0.45">
      <c r="C5" s="4" t="s">
        <v>298</v>
      </c>
      <c r="D5" s="4" t="s">
        <v>655</v>
      </c>
      <c r="E5" s="4" t="s">
        <v>656</v>
      </c>
      <c r="F5" s="4" t="s">
        <v>657</v>
      </c>
      <c r="G5" s="4" t="s">
        <v>658</v>
      </c>
      <c r="H5" s="4" t="s">
        <v>659</v>
      </c>
      <c r="I5" s="4" t="s">
        <v>660</v>
      </c>
      <c r="J5" s="4" t="s">
        <v>661</v>
      </c>
    </row>
    <row r="6" spans="2:10" ht="15" customHeight="1" x14ac:dyDescent="0.45">
      <c r="B6" s="2" t="s">
        <v>662</v>
      </c>
      <c r="C6" s="85">
        <f>Assumptions!C20</f>
        <v>309064</v>
      </c>
      <c r="D6" s="38">
        <f>C6*0.92</f>
        <v>284338.88</v>
      </c>
      <c r="E6" s="86">
        <f>D6*(1+Assumptions!$C$24)</f>
        <v>315616.15680000006</v>
      </c>
      <c r="F6" s="86">
        <f>E6*(1+Assumptions!$C$24)</f>
        <v>350333.93404800008</v>
      </c>
      <c r="G6" s="86">
        <f>F6*(1+Assumptions!$C$24)</f>
        <v>388870.66679328011</v>
      </c>
      <c r="H6" s="85">
        <f>G6*(1+Assumptions!$C$24)</f>
        <v>431646.44014054094</v>
      </c>
    </row>
    <row r="7" spans="2:10" ht="15" customHeight="1" x14ac:dyDescent="0.45">
      <c r="B7" s="16" t="s">
        <v>663</v>
      </c>
      <c r="C7" s="44">
        <f>Assumptions!C22/Assumptions!C20</f>
        <v>0.48417156317138199</v>
      </c>
      <c r="D7" s="22">
        <v>0.47</v>
      </c>
      <c r="E7" s="22">
        <v>0.47499999999999998</v>
      </c>
      <c r="F7" s="22">
        <v>0.48</v>
      </c>
      <c r="G7" s="22">
        <v>0.48499999999999999</v>
      </c>
      <c r="H7" s="41">
        <f>Assumptions!C28</f>
        <v>0.49</v>
      </c>
    </row>
    <row r="8" spans="2:10" ht="15" customHeight="1" x14ac:dyDescent="0.45">
      <c r="B8" s="2" t="s">
        <v>664</v>
      </c>
      <c r="C8" s="38">
        <f t="shared" ref="C8:H8" si="0">C6*C7</f>
        <v>149640</v>
      </c>
      <c r="D8" s="38">
        <f t="shared" si="0"/>
        <v>133639.27359999999</v>
      </c>
      <c r="E8" s="38">
        <f t="shared" si="0"/>
        <v>149917.67448000002</v>
      </c>
      <c r="F8" s="38">
        <f t="shared" si="0"/>
        <v>168160.28834304004</v>
      </c>
      <c r="G8" s="38">
        <f t="shared" si="0"/>
        <v>188602.27339474086</v>
      </c>
      <c r="H8" s="38">
        <f t="shared" si="0"/>
        <v>211506.75566886505</v>
      </c>
    </row>
    <row r="9" spans="2:10" ht="15" customHeight="1" x14ac:dyDescent="0.45">
      <c r="B9" s="16" t="s">
        <v>665</v>
      </c>
      <c r="D9" s="57">
        <f>D6*0.07</f>
        <v>19903.721600000001</v>
      </c>
      <c r="E9" s="57">
        <f>E6*0.07</f>
        <v>22093.130976000008</v>
      </c>
      <c r="F9" s="57">
        <f>F6*0.07</f>
        <v>24523.375383360009</v>
      </c>
      <c r="G9" s="57">
        <f>G6*0.07</f>
        <v>27220.946675529609</v>
      </c>
      <c r="H9" s="57">
        <f>H6*0.07</f>
        <v>30215.250809837868</v>
      </c>
    </row>
    <row r="10" spans="2:10" ht="15" customHeight="1" x14ac:dyDescent="0.45">
      <c r="B10" s="2" t="s">
        <v>666</v>
      </c>
      <c r="D10" s="38">
        <f>D8-D9</f>
        <v>113735.55199999998</v>
      </c>
      <c r="E10" s="38">
        <f>E8-E9</f>
        <v>127824.543504</v>
      </c>
      <c r="F10" s="38">
        <f>F8-F9</f>
        <v>143636.91295968002</v>
      </c>
      <c r="G10" s="38">
        <f>G8-G9</f>
        <v>161381.32671921124</v>
      </c>
      <c r="H10" s="38">
        <f>H8-H9</f>
        <v>181291.50485902719</v>
      </c>
    </row>
    <row r="11" spans="2:10" ht="15" customHeight="1" x14ac:dyDescent="0.45">
      <c r="B11" s="16" t="s">
        <v>667</v>
      </c>
      <c r="D11" s="57">
        <f>-D10*0.215</f>
        <v>-24453.143679999997</v>
      </c>
      <c r="E11" s="57">
        <f>-E10*0.215</f>
        <v>-27482.276853359999</v>
      </c>
      <c r="F11" s="57">
        <f>-F10*0.215</f>
        <v>-30881.936286331205</v>
      </c>
      <c r="G11" s="57">
        <f>-G10*0.215</f>
        <v>-34696.985244630414</v>
      </c>
      <c r="H11" s="57">
        <f>-H10*0.215</f>
        <v>-38977.673544690842</v>
      </c>
    </row>
    <row r="12" spans="2:10" ht="15" customHeight="1" x14ac:dyDescent="0.45">
      <c r="B12" s="16" t="s">
        <v>668</v>
      </c>
      <c r="D12" s="57">
        <f>D10+D11</f>
        <v>89282.408319999988</v>
      </c>
      <c r="E12" s="57">
        <f>E10+E11</f>
        <v>100342.26665064</v>
      </c>
      <c r="F12" s="57">
        <f>F10+F11</f>
        <v>112754.97667334881</v>
      </c>
      <c r="G12" s="57">
        <f>G10+G11</f>
        <v>126684.34147458083</v>
      </c>
      <c r="H12" s="57">
        <f>H10+H11</f>
        <v>142313.83131433633</v>
      </c>
    </row>
    <row r="13" spans="2:10" ht="15" customHeight="1" x14ac:dyDescent="0.45">
      <c r="B13" s="16" t="s">
        <v>669</v>
      </c>
      <c r="D13" s="57">
        <f>D9</f>
        <v>19903.721600000001</v>
      </c>
      <c r="E13" s="57">
        <f>E9</f>
        <v>22093.130976000008</v>
      </c>
      <c r="F13" s="57">
        <f>F9</f>
        <v>24523.375383360009</v>
      </c>
      <c r="G13" s="57">
        <f>G9</f>
        <v>27220.946675529609</v>
      </c>
      <c r="H13" s="57">
        <f>H9</f>
        <v>30215.250809837868</v>
      </c>
    </row>
    <row r="14" spans="2:10" ht="15" customHeight="1" x14ac:dyDescent="0.45">
      <c r="B14" s="16" t="s">
        <v>670</v>
      </c>
      <c r="D14" s="57">
        <f>-D6*0.165</f>
        <v>-46915.915200000003</v>
      </c>
      <c r="E14" s="57">
        <f>-E6*0.12</f>
        <v>-37873.938816000002</v>
      </c>
      <c r="F14" s="57">
        <f>-F6*0.1</f>
        <v>-35033.393404800008</v>
      </c>
      <c r="G14" s="57">
        <f>-G6*0.09</f>
        <v>-34998.360011395205</v>
      </c>
      <c r="H14" s="57">
        <f>-H6*0.08</f>
        <v>-34531.715211243274</v>
      </c>
    </row>
    <row r="15" spans="2:10" ht="15" customHeight="1" x14ac:dyDescent="0.45">
      <c r="B15" s="16" t="s">
        <v>671</v>
      </c>
      <c r="D15" s="57">
        <f>-(D6-C6)*0.1</f>
        <v>2472.5119999999997</v>
      </c>
      <c r="E15" s="57">
        <f>-(E6-D6)*0.1</f>
        <v>-3127.7276800000054</v>
      </c>
      <c r="F15" s="57">
        <f>-(F6-E6)*0.1</f>
        <v>-3471.7777248000029</v>
      </c>
      <c r="G15" s="57">
        <f>-(G6-F6)*0.1</f>
        <v>-3853.6732745280024</v>
      </c>
      <c r="H15" s="57">
        <f>-(H6-G6)*0.1</f>
        <v>-4277.5773347260838</v>
      </c>
    </row>
    <row r="16" spans="2:10" ht="15" customHeight="1" x14ac:dyDescent="0.45">
      <c r="B16" s="87" t="s">
        <v>672</v>
      </c>
      <c r="D16" s="88">
        <f>D12+D13+D14+D15</f>
        <v>64742.726719999991</v>
      </c>
      <c r="E16" s="88">
        <f>E12+E13+E14+E15</f>
        <v>81433.731130639993</v>
      </c>
      <c r="F16" s="88">
        <f>F12+F13+F14+F15</f>
        <v>98773.180927108813</v>
      </c>
      <c r="G16" s="88">
        <f>G12+G13+G14+G15</f>
        <v>115053.25486418721</v>
      </c>
      <c r="H16" s="88">
        <f>H12+H13+H14+H15</f>
        <v>133719.78957820483</v>
      </c>
    </row>
    <row r="17" spans="2:10" ht="15" customHeight="1" x14ac:dyDescent="0.45">
      <c r="B17" s="16" t="s">
        <v>673</v>
      </c>
      <c r="D17" s="89">
        <f>1/(1+Assumptions!$C$12)^1</f>
        <v>0.9294976065436632</v>
      </c>
      <c r="E17" s="89">
        <f>1/(1+Assumptions!$C$12)^2</f>
        <v>0.8639658005703984</v>
      </c>
      <c r="F17" s="89">
        <f>1/(1+Assumptions!$C$12)^3</f>
        <v>0.80305414376576512</v>
      </c>
      <c r="G17" s="89">
        <f>1/(1+Assumptions!$C$12)^4</f>
        <v>0.74643690455524936</v>
      </c>
      <c r="H17" s="89">
        <f>1/(1+Assumptions!$C$12)^5</f>
        <v>0.69381131621996506</v>
      </c>
    </row>
    <row r="18" spans="2:10" ht="15" customHeight="1" x14ac:dyDescent="0.45">
      <c r="B18" s="2" t="s">
        <v>674</v>
      </c>
      <c r="D18" s="38">
        <f>D16*D17</f>
        <v>60178.20952735046</v>
      </c>
      <c r="E18" s="38">
        <f>E16*E17</f>
        <v>70355.958709717961</v>
      </c>
      <c r="F18" s="38">
        <f>F16*F17</f>
        <v>79320.212236440377</v>
      </c>
      <c r="G18" s="38">
        <f>G16*G17</f>
        <v>85879.995419830084</v>
      </c>
      <c r="H18" s="38">
        <f>H16*H17</f>
        <v>92776.303211911058</v>
      </c>
    </row>
    <row r="19" spans="2:10" ht="15" customHeight="1" x14ac:dyDescent="0.45">
      <c r="B19" s="2" t="s">
        <v>675</v>
      </c>
      <c r="I19" s="90">
        <f>((H16*(1+Assumptions!$C$15)/(Assumptions!$C$12-Assumptions!$C$15)) + H8*Assumptions!$C$32)/2</f>
        <v>2828263.94963938</v>
      </c>
    </row>
    <row r="20" spans="2:10" ht="15" customHeight="1" x14ac:dyDescent="0.45">
      <c r="B20" s="2" t="s">
        <v>676</v>
      </c>
      <c r="I20" s="90">
        <f>I19/(1+Assumptions!$C$12)^5</f>
        <v>1962281.5335167754</v>
      </c>
    </row>
    <row r="21" spans="2:10" ht="15" customHeight="1" x14ac:dyDescent="0.45">
      <c r="B21" s="2" t="s">
        <v>677</v>
      </c>
      <c r="H21" s="20">
        <f>I25</f>
        <v>74.324085117446202</v>
      </c>
      <c r="I21" s="55">
        <f>SUM(D18:H18)+I20</f>
        <v>2350792.2126220251</v>
      </c>
    </row>
    <row r="22" spans="2:10" ht="15" customHeight="1" x14ac:dyDescent="0.45">
      <c r="B22" s="16" t="s">
        <v>678</v>
      </c>
      <c r="H22" s="20">
        <f>I48</f>
        <v>48.320341619107104</v>
      </c>
      <c r="I22" s="57">
        <f>-115919</f>
        <v>-115919</v>
      </c>
    </row>
    <row r="23" spans="2:10" ht="15" customHeight="1" x14ac:dyDescent="0.45">
      <c r="B23" s="2" t="s">
        <v>679</v>
      </c>
      <c r="H23" s="20">
        <f>I71</f>
        <v>21.430235438479009</v>
      </c>
      <c r="I23" s="51">
        <f>I21+I22</f>
        <v>2234873.2126220251</v>
      </c>
    </row>
    <row r="24" spans="2:10" ht="15" customHeight="1" x14ac:dyDescent="0.45">
      <c r="B24" s="16" t="s">
        <v>680</v>
      </c>
      <c r="I24" s="57">
        <f>I23/4435</f>
        <v>503.91729709628527</v>
      </c>
    </row>
    <row r="25" spans="2:10" ht="15" customHeight="1" x14ac:dyDescent="0.45">
      <c r="B25" s="2" t="s">
        <v>681</v>
      </c>
      <c r="I25" s="91">
        <f>I24/'Live Market Data'!C25</f>
        <v>74.324085117446202</v>
      </c>
    </row>
    <row r="27" spans="2:10" ht="15" customHeight="1" x14ac:dyDescent="0.45">
      <c r="B27" s="121" t="s">
        <v>682</v>
      </c>
      <c r="C27" s="121"/>
      <c r="D27" s="121"/>
      <c r="E27" s="121"/>
      <c r="F27" s="121"/>
      <c r="G27" s="121"/>
      <c r="H27" s="121"/>
      <c r="I27" s="121"/>
      <c r="J27" s="121"/>
    </row>
    <row r="28" spans="2:10" ht="21.75" customHeight="1" x14ac:dyDescent="0.45">
      <c r="C28" s="4" t="s">
        <v>298</v>
      </c>
      <c r="D28" s="4" t="s">
        <v>655</v>
      </c>
      <c r="E28" s="4" t="s">
        <v>656</v>
      </c>
      <c r="F28" s="4" t="s">
        <v>657</v>
      </c>
      <c r="G28" s="4" t="s">
        <v>658</v>
      </c>
      <c r="H28" s="4" t="s">
        <v>683</v>
      </c>
      <c r="I28" s="4" t="s">
        <v>660</v>
      </c>
      <c r="J28" s="4" t="s">
        <v>661</v>
      </c>
    </row>
    <row r="29" spans="2:10" ht="15" customHeight="1" x14ac:dyDescent="0.45">
      <c r="B29" s="2" t="s">
        <v>662</v>
      </c>
      <c r="C29" s="85">
        <f>Assumptions!C20</f>
        <v>309064</v>
      </c>
      <c r="D29" s="38">
        <f>C29*0.92</f>
        <v>284338.88</v>
      </c>
      <c r="E29" s="86">
        <f>D29*(1+Assumptions!$C$25)</f>
        <v>298555.82400000002</v>
      </c>
      <c r="F29" s="86">
        <f>E29*(1+Assumptions!$C$25)</f>
        <v>313483.61520000006</v>
      </c>
      <c r="G29" s="86">
        <f>F29*(1+Assumptions!$C$25)</f>
        <v>329157.79596000008</v>
      </c>
      <c r="H29" s="85">
        <f>G29*(1+Assumptions!$C$25)</f>
        <v>345615.68575800012</v>
      </c>
    </row>
    <row r="30" spans="2:10" ht="15" customHeight="1" x14ac:dyDescent="0.45">
      <c r="B30" s="16" t="s">
        <v>663</v>
      </c>
      <c r="C30" s="44">
        <f>Assumptions!C22/Assumptions!C20</f>
        <v>0.48417156317138199</v>
      </c>
      <c r="D30" s="22">
        <v>0.46</v>
      </c>
      <c r="E30" s="22">
        <v>0.45500000000000002</v>
      </c>
      <c r="F30" s="22">
        <v>0.45300000000000001</v>
      </c>
      <c r="G30" s="22">
        <v>0.45100000000000001</v>
      </c>
      <c r="H30" s="41">
        <f>Assumptions!C29</f>
        <v>0.45</v>
      </c>
    </row>
    <row r="31" spans="2:10" ht="15" customHeight="1" x14ac:dyDescent="0.45">
      <c r="B31" s="2" t="s">
        <v>664</v>
      </c>
      <c r="C31" s="38">
        <f t="shared" ref="C31:H31" si="1">C29*C30</f>
        <v>149640</v>
      </c>
      <c r="D31" s="38">
        <f t="shared" si="1"/>
        <v>130795.88480000001</v>
      </c>
      <c r="E31" s="38">
        <f t="shared" si="1"/>
        <v>135842.89992000003</v>
      </c>
      <c r="F31" s="38">
        <f t="shared" si="1"/>
        <v>142008.07768560003</v>
      </c>
      <c r="G31" s="38">
        <f t="shared" si="1"/>
        <v>148450.16597796004</v>
      </c>
      <c r="H31" s="38">
        <f t="shared" si="1"/>
        <v>155527.05859110007</v>
      </c>
    </row>
    <row r="32" spans="2:10" ht="15" customHeight="1" x14ac:dyDescent="0.45">
      <c r="B32" s="16" t="s">
        <v>665</v>
      </c>
      <c r="D32" s="57">
        <f>D29*0.07</f>
        <v>19903.721600000001</v>
      </c>
      <c r="E32" s="57">
        <f>E29*0.07</f>
        <v>20898.907680000004</v>
      </c>
      <c r="F32" s="57">
        <f>F29*0.07</f>
        <v>21943.853064000006</v>
      </c>
      <c r="G32" s="57">
        <f>G29*0.07</f>
        <v>23041.045717200006</v>
      </c>
      <c r="H32" s="57">
        <f>H29*0.07</f>
        <v>24193.098003060011</v>
      </c>
    </row>
    <row r="33" spans="2:9" ht="15" customHeight="1" x14ac:dyDescent="0.45">
      <c r="B33" s="2" t="s">
        <v>666</v>
      </c>
      <c r="D33" s="38">
        <f>D31-D32</f>
        <v>110892.16320000001</v>
      </c>
      <c r="E33" s="38">
        <f>E31-E32</f>
        <v>114943.99224000002</v>
      </c>
      <c r="F33" s="38">
        <f>F31-F32</f>
        <v>120064.22462160002</v>
      </c>
      <c r="G33" s="38">
        <f>G31-G32</f>
        <v>125409.12026076004</v>
      </c>
      <c r="H33" s="38">
        <f>H31-H32</f>
        <v>131333.96058804006</v>
      </c>
    </row>
    <row r="34" spans="2:9" ht="15" customHeight="1" x14ac:dyDescent="0.45">
      <c r="B34" s="16" t="s">
        <v>667</v>
      </c>
      <c r="D34" s="57">
        <f>-D33*0.215</f>
        <v>-23841.815088000003</v>
      </c>
      <c r="E34" s="57">
        <f>-E33*0.215</f>
        <v>-24712.958331600003</v>
      </c>
      <c r="F34" s="57">
        <f>-F33*0.215</f>
        <v>-25813.808293644004</v>
      </c>
      <c r="G34" s="57">
        <f>-G33*0.215</f>
        <v>-26962.960856063408</v>
      </c>
      <c r="H34" s="57">
        <f>-H33*0.215</f>
        <v>-28236.801526428611</v>
      </c>
    </row>
    <row r="35" spans="2:9" ht="15" customHeight="1" x14ac:dyDescent="0.45">
      <c r="B35" s="16" t="s">
        <v>668</v>
      </c>
      <c r="D35" s="57">
        <f>D33+D34</f>
        <v>87050.348112000007</v>
      </c>
      <c r="E35" s="57">
        <f>E33+E34</f>
        <v>90231.033908400015</v>
      </c>
      <c r="F35" s="57">
        <f>F33+F34</f>
        <v>94250.416327956016</v>
      </c>
      <c r="G35" s="57">
        <f>G33+G34</f>
        <v>98446.159404696635</v>
      </c>
      <c r="H35" s="57">
        <f>H33+H34</f>
        <v>103097.15906161146</v>
      </c>
    </row>
    <row r="36" spans="2:9" ht="15" customHeight="1" x14ac:dyDescent="0.45">
      <c r="B36" s="16" t="s">
        <v>669</v>
      </c>
      <c r="D36" s="57">
        <f>D32</f>
        <v>19903.721600000001</v>
      </c>
      <c r="E36" s="57">
        <f>E32</f>
        <v>20898.907680000004</v>
      </c>
      <c r="F36" s="57">
        <f>F32</f>
        <v>21943.853064000006</v>
      </c>
      <c r="G36" s="57">
        <f>G32</f>
        <v>23041.045717200006</v>
      </c>
      <c r="H36" s="57">
        <f>H32</f>
        <v>24193.098003060011</v>
      </c>
    </row>
    <row r="37" spans="2:9" ht="15" customHeight="1" x14ac:dyDescent="0.45">
      <c r="B37" s="16" t="s">
        <v>670</v>
      </c>
      <c r="D37" s="57">
        <f>-D29*0.165</f>
        <v>-46915.915200000003</v>
      </c>
      <c r="E37" s="57">
        <f>-E29*0.13</f>
        <v>-38812.257120000002</v>
      </c>
      <c r="F37" s="57">
        <f>-F29*0.11</f>
        <v>-34483.197672000009</v>
      </c>
      <c r="G37" s="57">
        <f>-G29*0.1</f>
        <v>-32915.779596000008</v>
      </c>
      <c r="H37" s="57">
        <f>-H29*0.09</f>
        <v>-31105.41171822001</v>
      </c>
    </row>
    <row r="38" spans="2:9" ht="15" customHeight="1" x14ac:dyDescent="0.45">
      <c r="B38" s="16" t="s">
        <v>671</v>
      </c>
      <c r="D38" s="57">
        <f>-(D29-C29)*0.1</f>
        <v>2472.5119999999997</v>
      </c>
      <c r="E38" s="57">
        <f>-(E29-D29)*0.1</f>
        <v>-1421.6944000000019</v>
      </c>
      <c r="F38" s="57">
        <f>-(F29-E29)*0.1</f>
        <v>-1492.7791200000038</v>
      </c>
      <c r="G38" s="57">
        <f>-(G29-F29)*0.1</f>
        <v>-1567.4180760000017</v>
      </c>
      <c r="H38" s="57">
        <f>-(H29-G29)*0.1</f>
        <v>-1645.7889798000049</v>
      </c>
    </row>
    <row r="39" spans="2:9" ht="15" customHeight="1" x14ac:dyDescent="0.45">
      <c r="B39" s="87" t="s">
        <v>672</v>
      </c>
      <c r="D39" s="88">
        <f>D35+D36+D37+D38</f>
        <v>62510.666512000011</v>
      </c>
      <c r="E39" s="88">
        <f>E35+E36+E37+E38</f>
        <v>70895.990068400017</v>
      </c>
      <c r="F39" s="88">
        <f>F35+F36+F37+F38</f>
        <v>80218.29259995601</v>
      </c>
      <c r="G39" s="88">
        <f>G35+G36+G37+G38</f>
        <v>87004.007449896628</v>
      </c>
      <c r="H39" s="88">
        <f>H35+H36+H37+H38</f>
        <v>94539.056366651435</v>
      </c>
    </row>
    <row r="40" spans="2:9" ht="15" customHeight="1" x14ac:dyDescent="0.45">
      <c r="B40" s="16" t="s">
        <v>684</v>
      </c>
      <c r="D40" s="89">
        <f>1/(1+Assumptions!$C$12)^1</f>
        <v>0.9294976065436632</v>
      </c>
      <c r="E40" s="89">
        <f>1/(1+Assumptions!$C$12)^2</f>
        <v>0.8639658005703984</v>
      </c>
      <c r="F40" s="89">
        <f>1/(1+Assumptions!$C$12)^3</f>
        <v>0.80305414376576512</v>
      </c>
      <c r="G40" s="89">
        <f>1/(1+Assumptions!$C$12)^4</f>
        <v>0.74643690455524936</v>
      </c>
      <c r="H40" s="89">
        <f>1/(1+Assumptions!$C$12)^5</f>
        <v>0.69381131621996506</v>
      </c>
    </row>
    <row r="41" spans="2:9" ht="15" customHeight="1" x14ac:dyDescent="0.45">
      <c r="B41" s="2" t="s">
        <v>674</v>
      </c>
      <c r="D41" s="38">
        <f>D39*D40</f>
        <v>58103.514906353128</v>
      </c>
      <c r="E41" s="38">
        <f>E39*E40</f>
        <v>61251.710816676234</v>
      </c>
      <c r="F41" s="38">
        <f>F39*F40</f>
        <v>64419.632278209283</v>
      </c>
      <c r="G41" s="38">
        <f>G39*G40</f>
        <v>64943.002004802693</v>
      </c>
      <c r="H41" s="38">
        <f>H39*H40</f>
        <v>65592.267131939894</v>
      </c>
    </row>
    <row r="42" spans="2:9" ht="15" customHeight="1" x14ac:dyDescent="0.45">
      <c r="B42" s="2" t="s">
        <v>685</v>
      </c>
      <c r="I42" s="90">
        <f>((H39*(1+Assumptions!$C$15)/(Assumptions!$C$12-Assumptions!$C$15)) + H31*Assumptions!$C$33)/2</f>
        <v>1808226.0865167114</v>
      </c>
    </row>
    <row r="43" spans="2:9" ht="15" customHeight="1" x14ac:dyDescent="0.45">
      <c r="B43" s="2" t="s">
        <v>676</v>
      </c>
      <c r="I43" s="90">
        <f>I42/(1+Assumptions!$C$12)^5</f>
        <v>1254567.7211094361</v>
      </c>
    </row>
    <row r="44" spans="2:9" ht="15" customHeight="1" x14ac:dyDescent="0.45">
      <c r="B44" s="2" t="s">
        <v>677</v>
      </c>
      <c r="I44" s="55">
        <f>SUM(D41:H41)+I43</f>
        <v>1568877.8482474172</v>
      </c>
    </row>
    <row r="45" spans="2:9" ht="15" customHeight="1" x14ac:dyDescent="0.45">
      <c r="B45" s="16" t="s">
        <v>686</v>
      </c>
      <c r="I45" s="57">
        <f>-115919</f>
        <v>-115919</v>
      </c>
    </row>
    <row r="46" spans="2:9" ht="15" customHeight="1" x14ac:dyDescent="0.45">
      <c r="B46" s="2" t="s">
        <v>679</v>
      </c>
      <c r="I46" s="51">
        <f>I44+I45</f>
        <v>1452958.8482474172</v>
      </c>
    </row>
    <row r="47" spans="2:9" ht="15" customHeight="1" x14ac:dyDescent="0.45">
      <c r="B47" s="16" t="s">
        <v>680</v>
      </c>
      <c r="I47" s="57">
        <f>I46/4435</f>
        <v>327.61191617754616</v>
      </c>
    </row>
    <row r="48" spans="2:9" ht="15" customHeight="1" x14ac:dyDescent="0.45">
      <c r="B48" s="2" t="s">
        <v>687</v>
      </c>
      <c r="I48" s="91">
        <f>I47/'Live Market Data'!C25</f>
        <v>48.320341619107104</v>
      </c>
    </row>
    <row r="50" spans="2:10" ht="15" customHeight="1" x14ac:dyDescent="0.45">
      <c r="B50" s="121" t="s">
        <v>688</v>
      </c>
      <c r="C50" s="121"/>
      <c r="D50" s="121"/>
      <c r="E50" s="121"/>
      <c r="F50" s="121"/>
      <c r="G50" s="121"/>
      <c r="H50" s="121"/>
      <c r="I50" s="121"/>
      <c r="J50" s="121"/>
    </row>
    <row r="51" spans="2:10" ht="21.75" customHeight="1" x14ac:dyDescent="0.45">
      <c r="C51" s="4" t="s">
        <v>298</v>
      </c>
      <c r="D51" s="4" t="s">
        <v>655</v>
      </c>
      <c r="E51" s="4" t="s">
        <v>656</v>
      </c>
      <c r="F51" s="4" t="s">
        <v>657</v>
      </c>
      <c r="G51" s="4" t="s">
        <v>658</v>
      </c>
      <c r="H51" s="4" t="s">
        <v>683</v>
      </c>
      <c r="I51" s="4" t="s">
        <v>660</v>
      </c>
      <c r="J51" s="4" t="s">
        <v>661</v>
      </c>
    </row>
    <row r="52" spans="2:10" ht="15" customHeight="1" x14ac:dyDescent="0.45">
      <c r="B52" s="2" t="s">
        <v>662</v>
      </c>
      <c r="C52" s="85">
        <f>Assumptions!C20</f>
        <v>309064</v>
      </c>
      <c r="D52" s="38">
        <f>C52*0.88</f>
        <v>271976.32000000001</v>
      </c>
      <c r="E52" s="86">
        <f>D52*(1+Assumptions!$C$26)</f>
        <v>267896.6752</v>
      </c>
      <c r="F52" s="86">
        <f>E52*(1+Assumptions!$C$26)</f>
        <v>263878.225072</v>
      </c>
      <c r="G52" s="86">
        <f>F52*(1+Assumptions!$C$26)</f>
        <v>259920.05169592</v>
      </c>
      <c r="H52" s="85">
        <f>G52*(1+Assumptions!$C$26)</f>
        <v>256021.25092048119</v>
      </c>
    </row>
    <row r="53" spans="2:10" ht="15" customHeight="1" x14ac:dyDescent="0.45">
      <c r="B53" s="16" t="s">
        <v>663</v>
      </c>
      <c r="C53" s="44">
        <f>Assumptions!C22/Assumptions!C20</f>
        <v>0.48417156317138199</v>
      </c>
      <c r="D53" s="22">
        <v>0.43</v>
      </c>
      <c r="E53" s="22">
        <v>0.41</v>
      </c>
      <c r="F53" s="22">
        <v>0.39</v>
      </c>
      <c r="G53" s="22">
        <v>0.37</v>
      </c>
      <c r="H53" s="41">
        <f>Assumptions!C30</f>
        <v>0.35</v>
      </c>
    </row>
    <row r="54" spans="2:10" ht="15" customHeight="1" x14ac:dyDescent="0.45">
      <c r="B54" s="2" t="s">
        <v>664</v>
      </c>
      <c r="C54" s="38">
        <f t="shared" ref="C54:H54" si="2">C52*C53</f>
        <v>149640</v>
      </c>
      <c r="D54" s="38">
        <f t="shared" si="2"/>
        <v>116949.81759999999</v>
      </c>
      <c r="E54" s="38">
        <f t="shared" si="2"/>
        <v>109837.63683199999</v>
      </c>
      <c r="F54" s="38">
        <f t="shared" si="2"/>
        <v>102912.50777808001</v>
      </c>
      <c r="G54" s="38">
        <f t="shared" si="2"/>
        <v>96170.419127490401</v>
      </c>
      <c r="H54" s="38">
        <f t="shared" si="2"/>
        <v>89607.437822168416</v>
      </c>
    </row>
    <row r="55" spans="2:10" ht="15" customHeight="1" x14ac:dyDescent="0.45">
      <c r="B55" s="16" t="s">
        <v>665</v>
      </c>
      <c r="D55" s="57">
        <f>D52*0.07</f>
        <v>19038.342400000001</v>
      </c>
      <c r="E55" s="57">
        <f>E52*0.07</f>
        <v>18752.767264000002</v>
      </c>
      <c r="F55" s="57">
        <f>F52*0.07</f>
        <v>18471.475755040003</v>
      </c>
      <c r="G55" s="57">
        <f>G52*0.07</f>
        <v>18194.403618714401</v>
      </c>
      <c r="H55" s="57">
        <f>H52*0.07</f>
        <v>17921.487564433686</v>
      </c>
    </row>
    <row r="56" spans="2:10" ht="15" customHeight="1" x14ac:dyDescent="0.45">
      <c r="B56" s="2" t="s">
        <v>666</v>
      </c>
      <c r="D56" s="38">
        <f>D54-D55</f>
        <v>97911.475199999986</v>
      </c>
      <c r="E56" s="38">
        <f>E54-E55</f>
        <v>91084.869567999995</v>
      </c>
      <c r="F56" s="38">
        <f>F54-F55</f>
        <v>84441.032023039996</v>
      </c>
      <c r="G56" s="38">
        <f>G54-G55</f>
        <v>77976.015508776007</v>
      </c>
      <c r="H56" s="38">
        <f>H54-H55</f>
        <v>71685.95025773473</v>
      </c>
    </row>
    <row r="57" spans="2:10" ht="15" customHeight="1" x14ac:dyDescent="0.45">
      <c r="B57" s="16" t="s">
        <v>667</v>
      </c>
      <c r="D57" s="57">
        <f>-D56*0.215</f>
        <v>-21050.967167999996</v>
      </c>
      <c r="E57" s="57">
        <f>-E56*0.215</f>
        <v>-19583.246957119998</v>
      </c>
      <c r="F57" s="57">
        <f>-F56*0.215</f>
        <v>-18154.821884953599</v>
      </c>
      <c r="G57" s="57">
        <f>-G56*0.215</f>
        <v>-16764.843334386842</v>
      </c>
      <c r="H57" s="57">
        <f>-H56*0.215</f>
        <v>-15412.479305412966</v>
      </c>
    </row>
    <row r="58" spans="2:10" ht="15" customHeight="1" x14ac:dyDescent="0.45">
      <c r="B58" s="16" t="s">
        <v>668</v>
      </c>
      <c r="D58" s="57">
        <f>D56+D57</f>
        <v>76860.508031999983</v>
      </c>
      <c r="E58" s="57">
        <f>E56+E57</f>
        <v>71501.622610880004</v>
      </c>
      <c r="F58" s="57">
        <f>F56+F57</f>
        <v>66286.210138086404</v>
      </c>
      <c r="G58" s="57">
        <f>G56+G57</f>
        <v>61211.172174389169</v>
      </c>
      <c r="H58" s="57">
        <f>H56+H57</f>
        <v>56273.470952321761</v>
      </c>
    </row>
    <row r="59" spans="2:10" ht="15" customHeight="1" x14ac:dyDescent="0.45">
      <c r="B59" s="16" t="s">
        <v>669</v>
      </c>
      <c r="D59" s="57">
        <f>D55</f>
        <v>19038.342400000001</v>
      </c>
      <c r="E59" s="57">
        <f>E55</f>
        <v>18752.767264000002</v>
      </c>
      <c r="F59" s="57">
        <f>F55</f>
        <v>18471.475755040003</v>
      </c>
      <c r="G59" s="57">
        <f>G55</f>
        <v>18194.403618714401</v>
      </c>
      <c r="H59" s="57">
        <f>H55</f>
        <v>17921.487564433686</v>
      </c>
    </row>
    <row r="60" spans="2:10" ht="15" customHeight="1" x14ac:dyDescent="0.45">
      <c r="B60" s="16" t="s">
        <v>670</v>
      </c>
      <c r="D60" s="57">
        <f>-D52*0.17</f>
        <v>-46235.974400000006</v>
      </c>
      <c r="E60" s="57">
        <f>-E52*0.15</f>
        <v>-40184.501279999997</v>
      </c>
      <c r="F60" s="57">
        <f>-F52*0.13</f>
        <v>-34304.169259360002</v>
      </c>
      <c r="G60" s="57">
        <f>-G52*0.12</f>
        <v>-31190.4062035104</v>
      </c>
      <c r="H60" s="57">
        <f>-H52*0.11</f>
        <v>-28162.33760125293</v>
      </c>
    </row>
    <row r="61" spans="2:10" ht="15" customHeight="1" x14ac:dyDescent="0.45">
      <c r="B61" s="16" t="s">
        <v>671</v>
      </c>
      <c r="D61" s="57">
        <f>-(D52-C52)*0.1</f>
        <v>3708.7679999999996</v>
      </c>
      <c r="E61" s="57">
        <f>-(E52-D52)*0.1</f>
        <v>407.96448000000095</v>
      </c>
      <c r="F61" s="57">
        <f>-(F52-E52)*0.1</f>
        <v>401.84501279999972</v>
      </c>
      <c r="G61" s="57">
        <f>-(G52-F52)*0.1</f>
        <v>395.81733760799983</v>
      </c>
      <c r="H61" s="57">
        <f>-(H52-G52)*0.1</f>
        <v>389.88007754388093</v>
      </c>
    </row>
    <row r="62" spans="2:10" ht="15" customHeight="1" x14ac:dyDescent="0.45">
      <c r="B62" s="92" t="s">
        <v>672</v>
      </c>
      <c r="D62" s="93">
        <f>D58+D59+D60+D61</f>
        <v>53371.644031999967</v>
      </c>
      <c r="E62" s="93">
        <f>E58+E59+E60+E61</f>
        <v>50477.853074880004</v>
      </c>
      <c r="F62" s="93">
        <f>F58+F59+F60+F61</f>
        <v>50855.361646566409</v>
      </c>
      <c r="G62" s="93">
        <f>G58+G59+G60+G61</f>
        <v>48610.986927201178</v>
      </c>
      <c r="H62" s="93">
        <f>H58+H59+H60+H61</f>
        <v>46422.500993046393</v>
      </c>
    </row>
    <row r="63" spans="2:10" ht="15" customHeight="1" x14ac:dyDescent="0.45">
      <c r="B63" s="16" t="s">
        <v>684</v>
      </c>
      <c r="D63" s="89">
        <f>1/(1+Assumptions!$C$12)^1</f>
        <v>0.9294976065436632</v>
      </c>
      <c r="E63" s="89">
        <f>1/(1+Assumptions!$C$12)^2</f>
        <v>0.8639658005703984</v>
      </c>
      <c r="F63" s="89">
        <f>1/(1+Assumptions!$C$12)^3</f>
        <v>0.80305414376576512</v>
      </c>
      <c r="G63" s="89">
        <f>1/(1+Assumptions!$C$12)^4</f>
        <v>0.74643690455524936</v>
      </c>
      <c r="H63" s="89">
        <f>1/(1+Assumptions!$C$12)^5</f>
        <v>0.69381131621996506</v>
      </c>
    </row>
    <row r="64" spans="2:10" ht="15" customHeight="1" x14ac:dyDescent="0.45">
      <c r="B64" s="2" t="s">
        <v>674</v>
      </c>
      <c r="D64" s="38">
        <f>D62*D63</f>
        <v>49608.815385044356</v>
      </c>
      <c r="E64" s="38">
        <f>E62*E63</f>
        <v>43611.138742913652</v>
      </c>
      <c r="F64" s="38">
        <f>F62*F63</f>
        <v>40839.608902981716</v>
      </c>
      <c r="G64" s="38">
        <f>G62*G63</f>
        <v>36285.034609315742</v>
      </c>
      <c r="H64" s="38">
        <f>H62*H63</f>
        <v>32208.456516208153</v>
      </c>
    </row>
    <row r="65" spans="2:10" ht="15" customHeight="1" x14ac:dyDescent="0.45">
      <c r="B65" s="2" t="s">
        <v>689</v>
      </c>
      <c r="I65" s="90">
        <f>((H62*(1+Assumptions!$C$15)/(Assumptions!$C$12-Assumptions!$C$15)) + H54*Assumptions!$C$34)/2</f>
        <v>803904.62258900725</v>
      </c>
    </row>
    <row r="66" spans="2:10" ht="15" customHeight="1" x14ac:dyDescent="0.45">
      <c r="B66" s="2" t="s">
        <v>676</v>
      </c>
      <c r="I66" s="90">
        <f>I65/(1+Assumptions!$C$12)^5</f>
        <v>557758.12431379338</v>
      </c>
    </row>
    <row r="67" spans="2:10" ht="15" customHeight="1" x14ac:dyDescent="0.45">
      <c r="B67" s="2" t="s">
        <v>677</v>
      </c>
      <c r="I67" s="55">
        <f>SUM(D64:H64)+I66</f>
        <v>760311.17847025697</v>
      </c>
    </row>
    <row r="68" spans="2:10" ht="15" customHeight="1" x14ac:dyDescent="0.45">
      <c r="B68" s="16" t="s">
        <v>686</v>
      </c>
      <c r="I68" s="57">
        <f>-115919</f>
        <v>-115919</v>
      </c>
    </row>
    <row r="69" spans="2:10" ht="15" customHeight="1" x14ac:dyDescent="0.45">
      <c r="B69" s="2" t="s">
        <v>679</v>
      </c>
      <c r="I69" s="51">
        <f>I67+I68</f>
        <v>644392.17847025697</v>
      </c>
    </row>
    <row r="70" spans="2:10" ht="15" customHeight="1" x14ac:dyDescent="0.45">
      <c r="B70" s="16" t="s">
        <v>680</v>
      </c>
      <c r="I70" s="57">
        <f>I69/4435</f>
        <v>145.2969962728877</v>
      </c>
    </row>
    <row r="71" spans="2:10" ht="15" customHeight="1" x14ac:dyDescent="0.45">
      <c r="B71" s="2" t="s">
        <v>690</v>
      </c>
      <c r="I71" s="91">
        <f>I70/'Live Market Data'!C25</f>
        <v>21.430235438479009</v>
      </c>
    </row>
    <row r="73" spans="2:10" ht="15" customHeight="1" x14ac:dyDescent="0.45">
      <c r="B73" s="121" t="s">
        <v>691</v>
      </c>
      <c r="C73" s="121"/>
      <c r="D73" s="121"/>
      <c r="E73" s="121"/>
      <c r="F73" s="121"/>
      <c r="G73" s="121"/>
      <c r="H73" s="121"/>
      <c r="I73" s="121"/>
      <c r="J73" s="121"/>
    </row>
    <row r="75" spans="2:10" ht="21.75" customHeight="1" x14ac:dyDescent="0.45">
      <c r="B75" s="4" t="s">
        <v>692</v>
      </c>
      <c r="E75" s="4" t="s">
        <v>693</v>
      </c>
      <c r="F75" s="4" t="s">
        <v>694</v>
      </c>
      <c r="G75" s="4" t="s">
        <v>680</v>
      </c>
      <c r="H75" s="4" t="s">
        <v>227</v>
      </c>
    </row>
    <row r="76" spans="2:10" ht="15" customHeight="1" x14ac:dyDescent="0.45">
      <c r="B76" s="2" t="s">
        <v>695</v>
      </c>
      <c r="E76" s="57">
        <f>I21/1000</f>
        <v>2350.7922126220251</v>
      </c>
      <c r="F76" s="57">
        <f>I23/1000</f>
        <v>2234.8732126220252</v>
      </c>
      <c r="G76" s="57">
        <f>I24</f>
        <v>503.91729709628527</v>
      </c>
      <c r="H76" s="94">
        <f>I25</f>
        <v>74.324085117446202</v>
      </c>
    </row>
    <row r="77" spans="2:10" ht="15" customHeight="1" x14ac:dyDescent="0.45">
      <c r="B77" s="2" t="s">
        <v>696</v>
      </c>
      <c r="E77" s="57">
        <f>I44/1000</f>
        <v>1568.8778482474172</v>
      </c>
      <c r="F77" s="57">
        <f>I46/1000</f>
        <v>1452.9588482474173</v>
      </c>
      <c r="G77" s="57">
        <f>I47</f>
        <v>327.61191617754616</v>
      </c>
      <c r="H77" s="95">
        <f>I48</f>
        <v>48.320341619107104</v>
      </c>
    </row>
    <row r="78" spans="2:10" ht="15" customHeight="1" x14ac:dyDescent="0.45">
      <c r="B78" s="2" t="s">
        <v>697</v>
      </c>
      <c r="E78" s="57">
        <f>I67/1000</f>
        <v>760.311178470257</v>
      </c>
      <c r="F78" s="57">
        <f>I69/1000</f>
        <v>644.39217847025702</v>
      </c>
      <c r="G78" s="57">
        <f>I70</f>
        <v>145.2969962728877</v>
      </c>
      <c r="H78" s="96">
        <f>I71</f>
        <v>21.430235438479009</v>
      </c>
    </row>
    <row r="80" spans="2:10" ht="15" customHeight="1" x14ac:dyDescent="0.45">
      <c r="B80" s="121" t="s">
        <v>698</v>
      </c>
      <c r="C80" s="121"/>
      <c r="D80" s="121"/>
      <c r="E80" s="121"/>
      <c r="F80" s="121"/>
      <c r="G80" s="121"/>
      <c r="H80" s="121"/>
      <c r="I80" s="121"/>
      <c r="J80" s="121"/>
    </row>
    <row r="81" spans="2:10" ht="21.75" customHeight="1" x14ac:dyDescent="0.45">
      <c r="B81" s="118" t="s">
        <v>699</v>
      </c>
      <c r="C81" s="118"/>
      <c r="D81" s="118"/>
      <c r="E81" s="118"/>
      <c r="F81" s="118"/>
      <c r="G81" s="118"/>
      <c r="H81" s="118"/>
      <c r="I81" s="118"/>
      <c r="J81" s="118"/>
    </row>
    <row r="82" spans="2:10" ht="21.75" customHeight="1" x14ac:dyDescent="0.45">
      <c r="B82" s="118" t="s">
        <v>700</v>
      </c>
      <c r="C82" s="118"/>
      <c r="D82" s="118"/>
      <c r="E82" s="118"/>
      <c r="F82" s="118"/>
      <c r="G82" s="118"/>
      <c r="H82" s="118"/>
      <c r="I82" s="118"/>
      <c r="J82" s="118"/>
    </row>
    <row r="83" spans="2:10" ht="21.75" customHeight="1" x14ac:dyDescent="0.45">
      <c r="B83" s="118" t="s">
        <v>701</v>
      </c>
      <c r="C83" s="118"/>
      <c r="D83" s="118"/>
      <c r="E83" s="118"/>
      <c r="F83" s="118"/>
      <c r="G83" s="118"/>
      <c r="H83" s="118"/>
      <c r="I83" s="118"/>
      <c r="J83" s="118"/>
    </row>
    <row r="84" spans="2:10" ht="21.75" customHeight="1" x14ac:dyDescent="0.45">
      <c r="B84" s="118" t="s">
        <v>702</v>
      </c>
      <c r="C84" s="118"/>
      <c r="D84" s="118"/>
      <c r="E84" s="118"/>
      <c r="F84" s="118"/>
      <c r="G84" s="118"/>
      <c r="H84" s="118"/>
      <c r="I84" s="118"/>
      <c r="J84" s="118"/>
    </row>
    <row r="85" spans="2:10" ht="21.75" customHeight="1" x14ac:dyDescent="0.45">
      <c r="B85" s="118" t="s">
        <v>703</v>
      </c>
      <c r="C85" s="118"/>
      <c r="D85" s="118"/>
      <c r="E85" s="118"/>
      <c r="F85" s="118"/>
      <c r="G85" s="118"/>
      <c r="H85" s="118"/>
      <c r="I85" s="118"/>
      <c r="J85" s="118"/>
    </row>
    <row r="86" spans="2:10" ht="21.75" customHeight="1" x14ac:dyDescent="0.45">
      <c r="B86" s="118" t="s">
        <v>704</v>
      </c>
      <c r="C86" s="118"/>
      <c r="D86" s="118"/>
      <c r="E86" s="118"/>
      <c r="F86" s="118"/>
      <c r="G86" s="118"/>
      <c r="H86" s="118"/>
      <c r="I86" s="118"/>
      <c r="J86" s="118"/>
    </row>
  </sheetData>
  <mergeCells count="13">
    <mergeCell ref="B1:J1"/>
    <mergeCell ref="B2:J2"/>
    <mergeCell ref="B4:J4"/>
    <mergeCell ref="B27:J27"/>
    <mergeCell ref="B50:J50"/>
    <mergeCell ref="B84:J84"/>
    <mergeCell ref="B85:J85"/>
    <mergeCell ref="B86:J86"/>
    <mergeCell ref="B73:J73"/>
    <mergeCell ref="B80:J80"/>
    <mergeCell ref="B81:J81"/>
    <mergeCell ref="B82:J82"/>
    <mergeCell ref="B83:J83"/>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37"/>
  <sheetViews>
    <sheetView showGridLines="0" topLeftCell="A4" zoomScaleNormal="100" workbookViewId="0"/>
  </sheetViews>
  <sheetFormatPr defaultColWidth="8.6640625" defaultRowHeight="14.25" x14ac:dyDescent="0.45"/>
  <cols>
    <col min="1" max="1" width="2" customWidth="1"/>
    <col min="2" max="2" width="22" customWidth="1"/>
    <col min="3" max="9" width="12" customWidth="1"/>
    <col min="10" max="10" width="45.1328125" customWidth="1"/>
  </cols>
  <sheetData>
    <row r="1" spans="2:10" ht="24" customHeight="1" x14ac:dyDescent="0.45">
      <c r="B1" s="120" t="s">
        <v>705</v>
      </c>
      <c r="C1" s="120"/>
      <c r="D1" s="120"/>
      <c r="E1" s="120"/>
      <c r="F1" s="120"/>
      <c r="G1" s="120"/>
      <c r="H1" s="120"/>
      <c r="I1" s="120"/>
      <c r="J1" s="120"/>
    </row>
    <row r="2" spans="2:10" ht="42" customHeight="1" x14ac:dyDescent="0.45">
      <c r="B2" s="118" t="s">
        <v>706</v>
      </c>
      <c r="C2" s="118"/>
      <c r="D2" s="118"/>
      <c r="E2" s="118"/>
      <c r="F2" s="118"/>
      <c r="G2" s="118"/>
      <c r="H2" s="118"/>
      <c r="I2" s="118"/>
      <c r="J2" s="118"/>
    </row>
    <row r="4" spans="2:10" ht="27.75" customHeight="1" x14ac:dyDescent="0.45">
      <c r="B4" s="4" t="s">
        <v>707</v>
      </c>
      <c r="C4" s="4" t="s">
        <v>9</v>
      </c>
      <c r="D4" s="4" t="s">
        <v>708</v>
      </c>
      <c r="E4" s="4" t="s">
        <v>709</v>
      </c>
      <c r="F4" s="4" t="s">
        <v>710</v>
      </c>
      <c r="G4" s="4" t="s">
        <v>711</v>
      </c>
      <c r="H4" s="4" t="s">
        <v>712</v>
      </c>
      <c r="I4" s="4" t="s">
        <v>713</v>
      </c>
      <c r="J4" s="4" t="s">
        <v>35</v>
      </c>
    </row>
    <row r="5" spans="2:10" ht="20.25" customHeight="1" x14ac:dyDescent="0.45">
      <c r="B5" s="2" t="s">
        <v>714</v>
      </c>
      <c r="C5" s="33" t="s">
        <v>715</v>
      </c>
      <c r="D5" s="28">
        <v>930</v>
      </c>
      <c r="E5" s="19">
        <v>35.06</v>
      </c>
      <c r="F5" s="19">
        <v>26.68</v>
      </c>
      <c r="G5" s="19">
        <v>25.34</v>
      </c>
      <c r="H5" s="97" t="s">
        <v>163</v>
      </c>
      <c r="I5" s="97" t="s">
        <v>163</v>
      </c>
      <c r="J5" s="5" t="s">
        <v>716</v>
      </c>
    </row>
    <row r="6" spans="2:10" ht="20.25" customHeight="1" x14ac:dyDescent="0.45">
      <c r="B6" s="2" t="s">
        <v>717</v>
      </c>
      <c r="C6" s="33" t="s">
        <v>718</v>
      </c>
      <c r="D6" s="28">
        <v>335</v>
      </c>
      <c r="E6" s="19">
        <v>20.37</v>
      </c>
      <c r="F6" s="19">
        <v>16.03</v>
      </c>
      <c r="G6" s="19">
        <v>12.94</v>
      </c>
      <c r="H6" s="19">
        <v>4.1399999999999997</v>
      </c>
      <c r="I6" s="19">
        <v>7.69</v>
      </c>
      <c r="J6" s="5" t="s">
        <v>719</v>
      </c>
    </row>
    <row r="7" spans="2:10" ht="15" customHeight="1" x14ac:dyDescent="0.45">
      <c r="B7" s="2" t="s">
        <v>720</v>
      </c>
      <c r="C7" s="33" t="s">
        <v>721</v>
      </c>
      <c r="D7" s="28">
        <v>290</v>
      </c>
      <c r="E7" s="19">
        <v>21.78</v>
      </c>
      <c r="F7" s="19">
        <v>17.21</v>
      </c>
      <c r="G7" s="19">
        <v>14.72</v>
      </c>
      <c r="H7" s="19">
        <v>5.21</v>
      </c>
      <c r="I7" s="19">
        <v>7.53</v>
      </c>
      <c r="J7" s="5" t="s">
        <v>722</v>
      </c>
    </row>
    <row r="8" spans="2:10" ht="20.25" customHeight="1" x14ac:dyDescent="0.45">
      <c r="B8" s="2" t="s">
        <v>723</v>
      </c>
      <c r="C8" s="33" t="s">
        <v>724</v>
      </c>
      <c r="D8" s="28">
        <v>290</v>
      </c>
      <c r="E8" s="19">
        <v>28.17</v>
      </c>
      <c r="F8" s="19">
        <v>18.38</v>
      </c>
      <c r="G8" s="19">
        <v>15.24</v>
      </c>
      <c r="H8" s="19">
        <v>4.83</v>
      </c>
      <c r="I8" s="19">
        <v>6.13</v>
      </c>
      <c r="J8" s="5" t="s">
        <v>725</v>
      </c>
    </row>
    <row r="9" spans="2:10" ht="20.25" customHeight="1" x14ac:dyDescent="0.45">
      <c r="B9" s="2" t="s">
        <v>726</v>
      </c>
      <c r="C9" s="33" t="s">
        <v>727</v>
      </c>
      <c r="D9" s="28">
        <v>108</v>
      </c>
      <c r="E9" s="19">
        <v>19.55</v>
      </c>
      <c r="F9" s="19">
        <v>8.94</v>
      </c>
      <c r="G9" s="19">
        <v>12.57</v>
      </c>
      <c r="H9" s="19">
        <v>1.98</v>
      </c>
      <c r="I9" s="19">
        <v>1.27</v>
      </c>
      <c r="J9" s="5" t="s">
        <v>728</v>
      </c>
    </row>
    <row r="10" spans="2:10" ht="20.25" customHeight="1" x14ac:dyDescent="0.45">
      <c r="B10" s="2" t="s">
        <v>729</v>
      </c>
      <c r="C10" s="33" t="s">
        <v>730</v>
      </c>
      <c r="D10" s="28">
        <v>192</v>
      </c>
      <c r="E10" s="19">
        <v>24.58</v>
      </c>
      <c r="F10" s="19">
        <v>15.63</v>
      </c>
      <c r="G10" s="19">
        <v>14.34</v>
      </c>
      <c r="H10" s="97" t="s">
        <v>163</v>
      </c>
      <c r="I10" s="97" t="s">
        <v>163</v>
      </c>
      <c r="J10" s="5" t="s">
        <v>731</v>
      </c>
    </row>
    <row r="11" spans="2:10" ht="15" customHeight="1" x14ac:dyDescent="0.45">
      <c r="B11" s="98" t="s">
        <v>732</v>
      </c>
      <c r="C11" s="99" t="s">
        <v>163</v>
      </c>
      <c r="D11" s="51">
        <f t="shared" ref="D11:I11" si="0">MEDIAN(D6:D10)</f>
        <v>290</v>
      </c>
      <c r="E11" s="100">
        <f t="shared" si="0"/>
        <v>21.78</v>
      </c>
      <c r="F11" s="100">
        <f t="shared" si="0"/>
        <v>16.03</v>
      </c>
      <c r="G11" s="100">
        <f t="shared" si="0"/>
        <v>14.34</v>
      </c>
      <c r="H11" s="100">
        <f t="shared" si="0"/>
        <v>4.4849999999999994</v>
      </c>
      <c r="I11" s="100">
        <f t="shared" si="0"/>
        <v>6.83</v>
      </c>
      <c r="J11" s="101" t="s">
        <v>733</v>
      </c>
    </row>
    <row r="12" spans="2:10" ht="15" customHeight="1" x14ac:dyDescent="0.45">
      <c r="B12" s="16" t="s">
        <v>734</v>
      </c>
      <c r="D12" s="57">
        <f t="shared" ref="D12:I12" si="1">MEDIAN(D5:D10)</f>
        <v>290</v>
      </c>
      <c r="E12" s="102">
        <f t="shared" si="1"/>
        <v>23.18</v>
      </c>
      <c r="F12" s="102">
        <f t="shared" si="1"/>
        <v>16.62</v>
      </c>
      <c r="G12" s="102">
        <f t="shared" si="1"/>
        <v>14.530000000000001</v>
      </c>
      <c r="H12" s="102">
        <f t="shared" si="1"/>
        <v>4.4849999999999994</v>
      </c>
      <c r="I12" s="102">
        <f t="shared" si="1"/>
        <v>6.83</v>
      </c>
      <c r="J12" s="5" t="s">
        <v>735</v>
      </c>
    </row>
    <row r="13" spans="2:10" ht="20.25" customHeight="1" x14ac:dyDescent="0.45">
      <c r="B13" s="103" t="s">
        <v>736</v>
      </c>
      <c r="C13" s="104" t="s">
        <v>737</v>
      </c>
      <c r="D13" s="90">
        <f>'Live Market Data'!C7/1000</f>
        <v>199.39760000000001</v>
      </c>
      <c r="E13" s="105">
        <f>'Live Market Data'!C11</f>
        <v>10.55</v>
      </c>
      <c r="F13" s="105">
        <f>'Live Market Data'!C12</f>
        <v>13.4</v>
      </c>
      <c r="G13" s="105">
        <f>'Live Market Data'!C14</f>
        <v>8.14</v>
      </c>
      <c r="H13" s="105">
        <f>'Live Market Data'!C15</f>
        <v>4.32</v>
      </c>
      <c r="I13" s="106" t="s">
        <v>163</v>
      </c>
      <c r="J13" s="1" t="s">
        <v>738</v>
      </c>
    </row>
    <row r="14" spans="2:10" ht="20.25" customHeight="1" x14ac:dyDescent="0.45">
      <c r="B14" s="2" t="s">
        <v>739</v>
      </c>
      <c r="E14" s="34">
        <f>E13/E11-1</f>
        <v>-0.51561065197428835</v>
      </c>
      <c r="F14" s="34">
        <f>F13/F11-1</f>
        <v>-0.16406737367436064</v>
      </c>
      <c r="G14" s="34">
        <f>G13/G11-1</f>
        <v>-0.43235704323570423</v>
      </c>
      <c r="H14" s="34">
        <f>H13/H11-1</f>
        <v>-3.6789297658862741E-2</v>
      </c>
      <c r="J14" s="5" t="s">
        <v>740</v>
      </c>
    </row>
    <row r="16" spans="2:10" ht="15" customHeight="1" x14ac:dyDescent="0.45">
      <c r="B16" s="121" t="s">
        <v>741</v>
      </c>
      <c r="C16" s="121"/>
      <c r="D16" s="121"/>
      <c r="E16" s="121"/>
      <c r="F16" s="121"/>
      <c r="G16" s="121"/>
      <c r="H16" s="121"/>
      <c r="I16" s="121"/>
      <c r="J16" s="121"/>
    </row>
    <row r="17" spans="2:10" ht="27.75" customHeight="1" x14ac:dyDescent="0.45">
      <c r="B17" s="4" t="s">
        <v>742</v>
      </c>
      <c r="C17" s="4" t="s">
        <v>743</v>
      </c>
      <c r="D17" s="4" t="s">
        <v>744</v>
      </c>
      <c r="E17" s="4" t="s">
        <v>745</v>
      </c>
      <c r="F17" s="4" t="s">
        <v>746</v>
      </c>
      <c r="G17" s="4" t="s">
        <v>747</v>
      </c>
      <c r="H17" s="119" t="s">
        <v>35</v>
      </c>
      <c r="I17" s="119"/>
      <c r="J17" s="119"/>
    </row>
    <row r="18" spans="2:10" ht="15" customHeight="1" x14ac:dyDescent="0.45">
      <c r="B18" s="2" t="s">
        <v>748</v>
      </c>
      <c r="C18" s="107">
        <f>F11</f>
        <v>16.03</v>
      </c>
      <c r="D18" s="16" t="s">
        <v>749</v>
      </c>
      <c r="E18" s="108">
        <f>C18*'Live Market Data'!C13</f>
        <v>53.784238805970155</v>
      </c>
      <c r="F18" s="36">
        <f>E18</f>
        <v>53.784238805970155</v>
      </c>
      <c r="G18" s="41">
        <f>F18/'Live Market Data'!C5-1</f>
        <v>0.19626865671641802</v>
      </c>
      <c r="H18" s="118" t="s">
        <v>750</v>
      </c>
      <c r="I18" s="118"/>
      <c r="J18" s="118"/>
    </row>
    <row r="19" spans="2:10" ht="15" customHeight="1" x14ac:dyDescent="0.45">
      <c r="B19" s="2" t="s">
        <v>751</v>
      </c>
      <c r="C19" s="107">
        <f>G11</f>
        <v>14.34</v>
      </c>
      <c r="D19" s="16" t="s">
        <v>752</v>
      </c>
      <c r="E19" s="86">
        <f>C19*Assumptions!C60-115919</f>
        <v>1944085.0959999999</v>
      </c>
      <c r="F19" s="35">
        <f>E19/4435/'Live Market Data'!C25</f>
        <v>64.653486978413198</v>
      </c>
      <c r="G19" s="41">
        <f>F19/'Live Market Data'!C5-1</f>
        <v>0.43802239720669922</v>
      </c>
      <c r="H19" s="118" t="s">
        <v>753</v>
      </c>
      <c r="I19" s="118"/>
      <c r="J19" s="118"/>
    </row>
    <row r="20" spans="2:10" ht="15" customHeight="1" x14ac:dyDescent="0.45">
      <c r="B20" s="2" t="s">
        <v>754</v>
      </c>
      <c r="C20" s="107">
        <f>H11</f>
        <v>4.4849999999999994</v>
      </c>
      <c r="D20" s="16" t="s">
        <v>755</v>
      </c>
      <c r="E20" s="86">
        <f>C20*Assumptions!C20*0.92-115919</f>
        <v>1159340.8768</v>
      </c>
      <c r="F20" s="35">
        <f>E20/4435/'Live Market Data'!C25</f>
        <v>38.555632382529687</v>
      </c>
      <c r="G20" s="41">
        <f>F20/'Live Market Data'!C5-1</f>
        <v>-0.14244589896508708</v>
      </c>
      <c r="H20" s="118" t="s">
        <v>756</v>
      </c>
      <c r="I20" s="118"/>
      <c r="J20" s="118"/>
    </row>
    <row r="21" spans="2:10" ht="15" customHeight="1" x14ac:dyDescent="0.45">
      <c r="B21" s="98" t="s">
        <v>757</v>
      </c>
      <c r="F21" s="109">
        <f>AVERAGE(F18:F20)</f>
        <v>52.331119388971018</v>
      </c>
      <c r="G21" s="110">
        <f>F21/'Live Market Data'!C5-1</f>
        <v>0.16394838498601016</v>
      </c>
      <c r="H21" s="118" t="s">
        <v>758</v>
      </c>
      <c r="I21" s="118"/>
      <c r="J21" s="118"/>
    </row>
    <row r="23" spans="2:10" ht="15" customHeight="1" x14ac:dyDescent="0.45">
      <c r="B23" s="121" t="s">
        <v>759</v>
      </c>
      <c r="C23" s="121"/>
      <c r="D23" s="121"/>
      <c r="E23" s="121"/>
      <c r="F23" s="121"/>
      <c r="G23" s="121"/>
      <c r="H23" s="121"/>
      <c r="I23" s="121"/>
      <c r="J23" s="121"/>
    </row>
    <row r="24" spans="2:10" ht="15" customHeight="1" x14ac:dyDescent="0.45">
      <c r="B24" s="4" t="s">
        <v>760</v>
      </c>
      <c r="C24" s="4" t="s">
        <v>709</v>
      </c>
      <c r="D24" s="4" t="s">
        <v>711</v>
      </c>
      <c r="E24" s="119" t="s">
        <v>761</v>
      </c>
      <c r="F24" s="119"/>
      <c r="G24" s="119"/>
      <c r="H24" s="119"/>
      <c r="I24" s="119"/>
      <c r="J24" s="119"/>
    </row>
    <row r="25" spans="2:10" ht="15" customHeight="1" x14ac:dyDescent="0.45">
      <c r="B25" s="16" t="s">
        <v>762</v>
      </c>
      <c r="C25" s="19">
        <v>38</v>
      </c>
      <c r="D25" s="19">
        <v>28</v>
      </c>
      <c r="E25" s="118" t="s">
        <v>763</v>
      </c>
      <c r="F25" s="118"/>
      <c r="G25" s="118"/>
      <c r="H25" s="118"/>
      <c r="I25" s="118"/>
      <c r="J25" s="118"/>
    </row>
    <row r="26" spans="2:10" ht="15" customHeight="1" x14ac:dyDescent="0.45">
      <c r="B26" s="16" t="s">
        <v>764</v>
      </c>
      <c r="C26" s="19">
        <v>30</v>
      </c>
      <c r="D26" s="19">
        <v>22</v>
      </c>
      <c r="E26" s="118" t="s">
        <v>765</v>
      </c>
      <c r="F26" s="118"/>
      <c r="G26" s="118"/>
      <c r="H26" s="118"/>
      <c r="I26" s="118"/>
      <c r="J26" s="118"/>
    </row>
    <row r="27" spans="2:10" ht="15" customHeight="1" x14ac:dyDescent="0.45">
      <c r="B27" s="16" t="s">
        <v>766</v>
      </c>
      <c r="C27" s="19">
        <v>15.2</v>
      </c>
      <c r="D27" s="19">
        <v>10</v>
      </c>
      <c r="E27" s="118" t="s">
        <v>767</v>
      </c>
      <c r="F27" s="118"/>
      <c r="G27" s="118"/>
      <c r="H27" s="118"/>
      <c r="I27" s="118"/>
      <c r="J27" s="118"/>
    </row>
    <row r="28" spans="2:10" ht="15" customHeight="1" x14ac:dyDescent="0.45">
      <c r="B28" s="3" t="s">
        <v>768</v>
      </c>
      <c r="C28" s="111">
        <v>10.55</v>
      </c>
      <c r="D28" s="111">
        <v>8.14</v>
      </c>
      <c r="E28" s="127" t="s">
        <v>769</v>
      </c>
      <c r="F28" s="127"/>
      <c r="G28" s="127"/>
      <c r="H28" s="127"/>
      <c r="I28" s="127"/>
      <c r="J28" s="127"/>
    </row>
    <row r="29" spans="2:10" ht="15" customHeight="1" x14ac:dyDescent="0.45">
      <c r="B29" s="16" t="s">
        <v>770</v>
      </c>
      <c r="C29" s="19">
        <v>20.399999999999999</v>
      </c>
      <c r="D29" s="19">
        <v>13.8</v>
      </c>
      <c r="E29" s="118" t="s">
        <v>771</v>
      </c>
      <c r="F29" s="118"/>
      <c r="G29" s="118"/>
      <c r="H29" s="118"/>
      <c r="I29" s="118"/>
      <c r="J29" s="118"/>
    </row>
    <row r="31" spans="2:10" ht="15" customHeight="1" x14ac:dyDescent="0.45">
      <c r="B31" s="121" t="s">
        <v>772</v>
      </c>
      <c r="C31" s="121"/>
      <c r="D31" s="121"/>
      <c r="E31" s="121"/>
      <c r="F31" s="121"/>
      <c r="G31" s="121"/>
      <c r="H31" s="121"/>
      <c r="I31" s="121"/>
      <c r="J31" s="121"/>
    </row>
    <row r="32" spans="2:10" ht="25.5" customHeight="1" x14ac:dyDescent="0.45">
      <c r="B32" s="118" t="s">
        <v>773</v>
      </c>
      <c r="C32" s="118"/>
      <c r="D32" s="118"/>
      <c r="E32" s="118"/>
      <c r="F32" s="118"/>
      <c r="G32" s="118"/>
      <c r="H32" s="118"/>
      <c r="I32" s="118"/>
      <c r="J32" s="118"/>
    </row>
    <row r="33" spans="2:10" ht="25.5" customHeight="1" x14ac:dyDescent="0.45">
      <c r="B33" s="118" t="s">
        <v>774</v>
      </c>
      <c r="C33" s="118"/>
      <c r="D33" s="118"/>
      <c r="E33" s="118"/>
      <c r="F33" s="118"/>
      <c r="G33" s="118"/>
      <c r="H33" s="118"/>
      <c r="I33" s="118"/>
      <c r="J33" s="118"/>
    </row>
    <row r="34" spans="2:10" ht="25.5" customHeight="1" x14ac:dyDescent="0.45">
      <c r="B34" s="118" t="s">
        <v>775</v>
      </c>
      <c r="C34" s="118"/>
      <c r="D34" s="118"/>
      <c r="E34" s="118"/>
      <c r="F34" s="118"/>
      <c r="G34" s="118"/>
      <c r="H34" s="118"/>
      <c r="I34" s="118"/>
      <c r="J34" s="118"/>
    </row>
    <row r="35" spans="2:10" ht="25.5" customHeight="1" x14ac:dyDescent="0.45">
      <c r="B35" s="118" t="s">
        <v>776</v>
      </c>
      <c r="C35" s="118"/>
      <c r="D35" s="118"/>
      <c r="E35" s="118"/>
      <c r="F35" s="118"/>
      <c r="G35" s="118"/>
      <c r="H35" s="118"/>
      <c r="I35" s="118"/>
      <c r="J35" s="118"/>
    </row>
    <row r="36" spans="2:10" ht="25.5" customHeight="1" x14ac:dyDescent="0.45">
      <c r="B36" s="118" t="s">
        <v>777</v>
      </c>
      <c r="C36" s="118"/>
      <c r="D36" s="118"/>
      <c r="E36" s="118"/>
      <c r="F36" s="118"/>
      <c r="G36" s="118"/>
      <c r="H36" s="118"/>
      <c r="I36" s="118"/>
      <c r="J36" s="118"/>
    </row>
    <row r="37" spans="2:10" ht="25.5" customHeight="1" x14ac:dyDescent="0.45">
      <c r="B37" s="118" t="s">
        <v>778</v>
      </c>
      <c r="C37" s="118"/>
      <c r="D37" s="118"/>
      <c r="E37" s="118"/>
      <c r="F37" s="118"/>
      <c r="G37" s="118"/>
      <c r="H37" s="118"/>
      <c r="I37" s="118"/>
      <c r="J37" s="118"/>
    </row>
  </sheetData>
  <mergeCells count="22">
    <mergeCell ref="B1:J1"/>
    <mergeCell ref="B2:J2"/>
    <mergeCell ref="B16:J16"/>
    <mergeCell ref="H17:J17"/>
    <mergeCell ref="H18:J18"/>
    <mergeCell ref="H19:J19"/>
    <mergeCell ref="H20:J20"/>
    <mergeCell ref="H21:J21"/>
    <mergeCell ref="B23:J23"/>
    <mergeCell ref="E24:J24"/>
    <mergeCell ref="E25:J25"/>
    <mergeCell ref="E26:J26"/>
    <mergeCell ref="E27:J27"/>
    <mergeCell ref="E28:J28"/>
    <mergeCell ref="E29:J29"/>
    <mergeCell ref="B36:J36"/>
    <mergeCell ref="B37:J37"/>
    <mergeCell ref="B31:J31"/>
    <mergeCell ref="B32:J32"/>
    <mergeCell ref="B33:J33"/>
    <mergeCell ref="B34:J34"/>
    <mergeCell ref="B35:J3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Live Market Data</vt:lpstr>
      <vt:lpstr>Assumptions</vt:lpstr>
      <vt:lpstr>Historical Financials</vt:lpstr>
      <vt:lpstr>2026 Guidance Bridge</vt:lpstr>
      <vt:lpstr>Patent Cliff Analysis</vt:lpstr>
      <vt:lpstr>Pipeline Scorecard</vt:lpstr>
      <vt:lpstr>DCF</vt:lpstr>
      <vt:lpstr>Comps</vt:lpstr>
      <vt:lpstr>Risk Matrix</vt:lpstr>
      <vt:lpstr>Investment Verdict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romanos valeontis</cp:lastModifiedBy>
  <cp:revision>0</cp:revision>
  <dcterms:created xsi:type="dcterms:W3CDTF">2026-05-25T00:14:49Z</dcterms:created>
  <dcterms:modified xsi:type="dcterms:W3CDTF">2026-05-25T04:44:26Z</dcterms:modified>
  <dc:language>en-US</dc:language>
</cp:coreProperties>
</file>