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ver" sheetId="1" state="visible" r:id="rId3"/>
    <sheet name="Model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<sst xmlns="http://schemas.openxmlformats.org/spreadsheetml/2006/main" count="385" uniqueCount="285">
  <si>
    <t xml:space="preserve">Piraeus Financial Holdings S.A.</t>
  </si>
  <si>
    <t xml:space="preserve">Model type</t>
  </si>
  <si>
    <t xml:space="preserve">Integrated three-statement operating model — commercial bank</t>
  </si>
  <si>
    <t xml:space="preserve">Ticker</t>
  </si>
  <si>
    <t xml:space="preserve">TPEIR GA · Euronext Athens</t>
  </si>
  <si>
    <t xml:space="preserve">Currency</t>
  </si>
  <si>
    <t xml:space="preserve">EUR millions unless stated</t>
  </si>
  <si>
    <t xml:space="preserve">Historical periods</t>
  </si>
  <si>
    <t xml:space="preserve">FY2024A, FY2025A</t>
  </si>
  <si>
    <t xml:space="preserve">Interim actual</t>
  </si>
  <si>
    <t xml:space="preserve">H1 2026 (six months to 30 June 2026)</t>
  </si>
  <si>
    <t xml:space="preserve">Forecast periods</t>
  </si>
  <si>
    <t xml:space="preserve">FY2026E – FY2030E</t>
  </si>
  <si>
    <t xml:space="preserve">Source</t>
  </si>
  <si>
    <t xml:space="preserve">Piraeus Investor Relations databook and H1 2026 results presentation</t>
  </si>
  <si>
    <t xml:space="preserve">Prepared</t>
  </si>
  <si>
    <t xml:space="preserve">September 2026</t>
  </si>
  <si>
    <t xml:space="preserve">Model contents</t>
  </si>
  <si>
    <t xml:space="preserve">Assumptions &amp; Drivers</t>
  </si>
  <si>
    <t xml:space="preserve">Every input. Blue figures are hardcoded.</t>
  </si>
  <si>
    <t xml:space="preserve">Income Statement</t>
  </si>
  <si>
    <t xml:space="preserve">Interest income to net profit, bank presentation.</t>
  </si>
  <si>
    <t xml:space="preserve">Balance Sheet</t>
  </si>
  <si>
    <t xml:space="preserve">Loans and deposits as operating asset and liability, with check.</t>
  </si>
  <si>
    <t xml:space="preserve">Cash Flow Statement</t>
  </si>
  <si>
    <t xml:space="preserve">Loan and deposit flows within operating activities.</t>
  </si>
  <si>
    <t xml:space="preserve">Net Interest Income Schedule</t>
  </si>
  <si>
    <t xml:space="preserve">Balances, yields, funding costs, deposit betas.</t>
  </si>
  <si>
    <t xml:space="preserve">Asset Quality Schedule</t>
  </si>
  <si>
    <t xml:space="preserve">Loan roll-forward, provisions, net charge-offs.</t>
  </si>
  <si>
    <t xml:space="preserve">Regulatory Capital Schedule</t>
  </si>
  <si>
    <t xml:space="preserve">RWA, CET1 roll-forward, capital-constrained distribution.</t>
  </si>
  <si>
    <t xml:space="preserve">Ethniki Insurance Schedule</t>
  </si>
  <si>
    <t xml:space="preserve">Acquired segment.</t>
  </si>
  <si>
    <t xml:space="preserve">Valuation</t>
  </si>
  <si>
    <t xml:space="preserve">Justified P/TBV from ROTE against cost of equity.</t>
  </si>
  <si>
    <t xml:space="preserve">Checks</t>
  </si>
  <si>
    <t xml:space="preserve">Integrity checks.</t>
  </si>
  <si>
    <t xml:space="preserve">Formatting convention</t>
  </si>
  <si>
    <t xml:space="preserve">Blue figures are inputs or hardcoded historical actuals</t>
  </si>
  <si>
    <t xml:space="preserve">Black figures are calculated</t>
  </si>
  <si>
    <t xml:space="preserve">Grey shaded rows are subtotals and totals</t>
  </si>
  <si>
    <t xml:space="preserve">Blue shaded cells are integrity checks</t>
  </si>
  <si>
    <t xml:space="preserve">All sections sit on the single Model sheet, stacked vertically in the order listed above. This follows the CFI template convention.</t>
  </si>
  <si>
    <t xml:space="preserve">All figures in EUR millions unless stated</t>
  </si>
  <si>
    <t xml:space="preserve">Actual / estimate</t>
  </si>
  <si>
    <t xml:space="preserve">A</t>
  </si>
  <si>
    <t xml:space="preserve">E</t>
  </si>
  <si>
    <t xml:space="preserve">Macro and rates</t>
  </si>
  <si>
    <t xml:space="preserve">3-month Euribor, period average</t>
  </si>
  <si>
    <t xml:space="preserve">(%)</t>
  </si>
  <si>
    <t xml:space="preserve">ECB path. FY2024–25 actual; forecast assumes a terminal rate near 2%.</t>
  </si>
  <si>
    <t xml:space="preserve">Greek GDP growth</t>
  </si>
  <si>
    <t xml:space="preserve">Income statement</t>
  </si>
  <si>
    <t xml:space="preserve">Loan yield on average net loans</t>
  </si>
  <si>
    <t xml:space="preserve">Historicals are calculated in the NII schedule below.</t>
  </si>
  <si>
    <t xml:space="preserve">Securities yield</t>
  </si>
  <si>
    <t xml:space="preserve">Cost of customer deposits</t>
  </si>
  <si>
    <t xml:space="preserve">THE KEY ASSUMPTION. Greek deposit betas are the lowest in Europe; the implied beta is shown below.</t>
  </si>
  <si>
    <t xml:space="preserve">Cost of wholesale funding</t>
  </si>
  <si>
    <t xml:space="preserve">Net fee income growth</t>
  </si>
  <si>
    <t xml:space="preserve">Staff cost growth</t>
  </si>
  <si>
    <t xml:space="preserve">Administrative expense growth</t>
  </si>
  <si>
    <t xml:space="preserve">Depreciation as percent of gross loans</t>
  </si>
  <si>
    <t xml:space="preserve">Cost of risk</t>
  </si>
  <si>
    <t xml:space="preserve">(bps)</t>
  </si>
  <si>
    <t xml:space="preserve">Other impairments and associates</t>
  </si>
  <si>
    <t xml:space="preserve">(EUR m)</t>
  </si>
  <si>
    <t xml:space="preserve">Effective tax rate</t>
  </si>
  <si>
    <t xml:space="preserve">Non-controlling interests</t>
  </si>
  <si>
    <t xml:space="preserve">Rental, trading and other income</t>
  </si>
  <si>
    <t xml:space="preserve">Rebased to the H1 2026 run rate. FY2025 carried EUR 119.4m of trading gains that do not recur.</t>
  </si>
  <si>
    <t xml:space="preserve">Balance sheet</t>
  </si>
  <si>
    <t xml:space="preserve">Gross loan growth</t>
  </si>
  <si>
    <t xml:space="preserve">Customer deposit growth</t>
  </si>
  <si>
    <t xml:space="preserve">Securities portfolio growth</t>
  </si>
  <si>
    <t xml:space="preserve">Debt securities in issue</t>
  </si>
  <si>
    <t xml:space="preserve">Deferred tax asset amortisation</t>
  </si>
  <si>
    <t xml:space="preserve">DTC runs off over time. It was 54% of CET1 at June 2026 — a capital quality consideration.</t>
  </si>
  <si>
    <t xml:space="preserve">Capital expenditure</t>
  </si>
  <si>
    <t xml:space="preserve">Technology infrastructure. Minimal relative to a corporate model.</t>
  </si>
  <si>
    <t xml:space="preserve">Regulatory capital and distribution</t>
  </si>
  <si>
    <t xml:space="preserve">RWA as percent of net loans</t>
  </si>
  <si>
    <t xml:space="preserve">FY2024 RWA were 83.7% of net loans and FY2025 82.3%.</t>
  </si>
  <si>
    <t xml:space="preserve">CET1 ratio, management target</t>
  </si>
  <si>
    <t xml:space="preserve">Management guidance is c.13%, which they expect to surpass.</t>
  </si>
  <si>
    <t xml:space="preserve">Management buffer above target</t>
  </si>
  <si>
    <t xml:space="preserve">Ordinary dividend payout ratio</t>
  </si>
  <si>
    <t xml:space="preserve">H1 2026 presentation states a 57% distribution.</t>
  </si>
  <si>
    <t xml:space="preserve">Additional Tier 1 coupon</t>
  </si>
  <si>
    <t xml:space="preserve">Ethniki Insurance</t>
  </si>
  <si>
    <t xml:space="preserve">Gross written premium growth</t>
  </si>
  <si>
    <t xml:space="preserve">Net combined ratio</t>
  </si>
  <si>
    <t xml:space="preserve">Below 100% is an underwriting profit. Improved from 101% at H1 2025 to 93% at H1 2026.</t>
  </si>
  <si>
    <t xml:space="preserve">Valuation inputs</t>
  </si>
  <si>
    <t xml:space="preserve">Risk-free rate</t>
  </si>
  <si>
    <t xml:space="preserve">Equity risk premium</t>
  </si>
  <si>
    <t xml:space="preserve">Beta</t>
  </si>
  <si>
    <t xml:space="preserve">(x)</t>
  </si>
  <si>
    <t xml:space="preserve">Long-run growth</t>
  </si>
  <si>
    <t xml:space="preserve">Share price</t>
  </si>
  <si>
    <t xml:space="preserve">(EUR)</t>
  </si>
  <si>
    <t xml:space="preserve">Closing price, 10 September 2026.</t>
  </si>
  <si>
    <t xml:space="preserve">Shares outstanding</t>
  </si>
  <si>
    <t xml:space="preserve">(m)</t>
  </si>
  <si>
    <t xml:space="preserve">Interest income</t>
  </si>
  <si>
    <t xml:space="preserve">Interest earned on loans and securities is the bank's gross revenue.</t>
  </si>
  <si>
    <t xml:space="preserve">Interest expense</t>
  </si>
  <si>
    <t xml:space="preserve">Net interest income</t>
  </si>
  <si>
    <t xml:space="preserve">Net fee and commission income</t>
  </si>
  <si>
    <t xml:space="preserve">Insurance revenue — Ethniki</t>
  </si>
  <si>
    <t xml:space="preserve">Total operating income</t>
  </si>
  <si>
    <t xml:space="preserve">Staff costs</t>
  </si>
  <si>
    <t xml:space="preserve">Administrative expenses</t>
  </si>
  <si>
    <t xml:space="preserve">Depreciation and amortisation</t>
  </si>
  <si>
    <t xml:space="preserve">Insurance operating expenses</t>
  </si>
  <si>
    <t xml:space="preserve">Total operating expenses</t>
  </si>
  <si>
    <t xml:space="preserve">Pre-provision income</t>
  </si>
  <si>
    <t xml:space="preserve">Provision for credit losses</t>
  </si>
  <si>
    <t xml:space="preserve">Discontinued operations and other</t>
  </si>
  <si>
    <t xml:space="preserve">Reconciles to reported PBT. Piraeus's published bridge does not foot by EUR 9.7m in FY2024.</t>
  </si>
  <si>
    <t xml:space="preserve">Profit before tax</t>
  </si>
  <si>
    <t xml:space="preserve">Income tax expense</t>
  </si>
  <si>
    <t xml:space="preserve">Profit after tax</t>
  </si>
  <si>
    <t xml:space="preserve">Net profit attributable to shareholders</t>
  </si>
  <si>
    <t xml:space="preserve">Net profit to ordinary shareholders</t>
  </si>
  <si>
    <t xml:space="preserve">Key ratios</t>
  </si>
  <si>
    <t xml:space="preserve">Net interest margin on interest-earning assets</t>
  </si>
  <si>
    <t xml:space="preserve">Net interest margin on total assets</t>
  </si>
  <si>
    <t xml:space="preserve">Management's reported definition. H1 2026 was 2.2% against a c.2.1% full-year target.</t>
  </si>
  <si>
    <t xml:space="preserve">Cost-to-income ratio</t>
  </si>
  <si>
    <t xml:space="preserve">Fee and insurance income / revenue</t>
  </si>
  <si>
    <t xml:space="preserve">Earnings per share</t>
  </si>
  <si>
    <t xml:space="preserve">Assets</t>
  </si>
  <si>
    <t xml:space="preserve">Cash and balances with central banks</t>
  </si>
  <si>
    <t xml:space="preserve">Balancing item. Surplus funding is placed with the central bank.</t>
  </si>
  <si>
    <t xml:space="preserve">Loans and advances to credit institutions</t>
  </si>
  <si>
    <t xml:space="preserve">Net loans and advances to customers</t>
  </si>
  <si>
    <t xml:space="preserve">Primary interest-earning asset; replaces inventory and receivables.</t>
  </si>
  <si>
    <t xml:space="preserve">Securities and derivatives</t>
  </si>
  <si>
    <t xml:space="preserve">Insurance assets</t>
  </si>
  <si>
    <t xml:space="preserve">Investments in associates</t>
  </si>
  <si>
    <t xml:space="preserve">Goodwill and intangible assets</t>
  </si>
  <si>
    <t xml:space="preserve">Property, plant and equipment</t>
  </si>
  <si>
    <t xml:space="preserve">Deferred tax assets</t>
  </si>
  <si>
    <t xml:space="preserve">Other assets</t>
  </si>
  <si>
    <t xml:space="preserve">Total assets</t>
  </si>
  <si>
    <t xml:space="preserve">Liabilities</t>
  </si>
  <si>
    <t xml:space="preserve">Due to credit institutions</t>
  </si>
  <si>
    <t xml:space="preserve">Due to customers</t>
  </si>
  <si>
    <t xml:space="preserve">Largest source of low-cost operating funding.</t>
  </si>
  <si>
    <t xml:space="preserve">Debt securities and other borrowed funds</t>
  </si>
  <si>
    <t xml:space="preserve">Insurance liabilities</t>
  </si>
  <si>
    <t xml:space="preserve">Other liabilities and provisions</t>
  </si>
  <si>
    <t xml:space="preserve">Total liabilities</t>
  </si>
  <si>
    <t xml:space="preserve">Equity</t>
  </si>
  <si>
    <t xml:space="preserve">Opening shareholders' funds</t>
  </si>
  <si>
    <t xml:space="preserve">    Net profit to ordinary shareholders</t>
  </si>
  <si>
    <t xml:space="preserve">    Distributions</t>
  </si>
  <si>
    <t xml:space="preserve">    Other comprehensive income and reserves</t>
  </si>
  <si>
    <t xml:space="preserve">Shareholders' funds</t>
  </si>
  <si>
    <t xml:space="preserve">Additional Tier 1</t>
  </si>
  <si>
    <t xml:space="preserve">Total equity</t>
  </si>
  <si>
    <t xml:space="preserve">Tangible book value</t>
  </si>
  <si>
    <t xml:space="preserve">(memo)</t>
  </si>
  <si>
    <t xml:space="preserve">Total liabilities and equity</t>
  </si>
  <si>
    <t xml:space="preserve">Balance sheet check</t>
  </si>
  <si>
    <t xml:space="preserve">Must be zero in every forecast period. Historicals carry source rounding.</t>
  </si>
  <si>
    <t xml:space="preserve">Operating activities</t>
  </si>
  <si>
    <t xml:space="preserve">    Add back: depreciation and amortisation</t>
  </si>
  <si>
    <t xml:space="preserve">    Add back: provision for credit losses</t>
  </si>
  <si>
    <t xml:space="preserve">Non-cash charge; cash only leaves on write-off.</t>
  </si>
  <si>
    <t xml:space="preserve">    Deferred tax asset amortisation</t>
  </si>
  <si>
    <t xml:space="preserve">    (Increase) in loans to customers</t>
  </si>
  <si>
    <t xml:space="preserve">Loan origination net of repayment is an operating cash movement for a bank.</t>
  </si>
  <si>
    <t xml:space="preserve">    Increase in customer deposits</t>
  </si>
  <si>
    <t xml:space="preserve">Deposit gathering is a core operating inflow, not a financing item.</t>
  </si>
  <si>
    <t xml:space="preserve">    Other operating assets and liabilities</t>
  </si>
  <si>
    <t xml:space="preserve">Cash flow from operating activities</t>
  </si>
  <si>
    <t xml:space="preserve">Investing activities</t>
  </si>
  <si>
    <t xml:space="preserve">    Capital expenditure</t>
  </si>
  <si>
    <t xml:space="preserve">    (Purchase) of securities</t>
  </si>
  <si>
    <t xml:space="preserve">    Acquisitions net of cash acquired</t>
  </si>
  <si>
    <t xml:space="preserve">Cash flow from investing activities</t>
  </si>
  <si>
    <t xml:space="preserve">Financing activities</t>
  </si>
  <si>
    <t xml:space="preserve">    Net issuance of debt securities</t>
  </si>
  <si>
    <t xml:space="preserve">    Net movement due to credit institutions</t>
  </si>
  <si>
    <t xml:space="preserve">    Distributions to shareholders</t>
  </si>
  <si>
    <t xml:space="preserve">    Additional Tier 1 coupon</t>
  </si>
  <si>
    <t xml:space="preserve">    Net interbank and wholesale funding movement</t>
  </si>
  <si>
    <t xml:space="preserve">Balancing line. Cash is the balance sheet plug, so this reconciles the statement to it.</t>
  </si>
  <si>
    <t xml:space="preserve">Cash flow from financing activities</t>
  </si>
  <si>
    <t xml:space="preserve">Net change in cash</t>
  </si>
  <si>
    <t xml:space="preserve">Opening cash</t>
  </si>
  <si>
    <t xml:space="preserve">Closing cash</t>
  </si>
  <si>
    <t xml:space="preserve">Cash per balance sheet</t>
  </si>
  <si>
    <t xml:space="preserve">Difference</t>
  </si>
  <si>
    <t xml:space="preserve">Period-end balances</t>
  </si>
  <si>
    <t xml:space="preserve">Gross loans and advances to customers</t>
  </si>
  <si>
    <t xml:space="preserve">    Less: cumulative provisions</t>
  </si>
  <si>
    <t xml:space="preserve">Net loans</t>
  </si>
  <si>
    <t xml:space="preserve">Securities portfolio</t>
  </si>
  <si>
    <t xml:space="preserve">Customer deposits</t>
  </si>
  <si>
    <t xml:space="preserve">Average balances</t>
  </si>
  <si>
    <t xml:space="preserve">Average net loans</t>
  </si>
  <si>
    <t xml:space="preserve">Historicals are the average of the four quarter-end balances.</t>
  </si>
  <si>
    <t xml:space="preserve">Average gross loans</t>
  </si>
  <si>
    <t xml:space="preserve">Average securities</t>
  </si>
  <si>
    <t xml:space="preserve">Average customer deposits</t>
  </si>
  <si>
    <t xml:space="preserve">Average debt securities</t>
  </si>
  <si>
    <t xml:space="preserve">Yields and funding costs</t>
  </si>
  <si>
    <t xml:space="preserve">Loan yield</t>
  </si>
  <si>
    <t xml:space="preserve">Implied deposit beta, cost over Euribor</t>
  </si>
  <si>
    <t xml:space="preserve">FY2024 deposit cost of 0.54% against average Euribor of 3.58% implies pass-through near 15% — the lowest in Europe, and the core of the investment case.</t>
  </si>
  <si>
    <t xml:space="preserve">    Interest on loans and advances</t>
  </si>
  <si>
    <t xml:space="preserve">    Interest on securities</t>
  </si>
  <si>
    <t xml:space="preserve">    Interest on derivatives and other assets</t>
  </si>
  <si>
    <t xml:space="preserve">Total interest income</t>
  </si>
  <si>
    <t xml:space="preserve">    Interest on customer deposits</t>
  </si>
  <si>
    <t xml:space="preserve">Interest paid to depositors is the direct cost of the bank's revenue.</t>
  </si>
  <si>
    <t xml:space="preserve">    Interest on debt securities in issue</t>
  </si>
  <si>
    <t xml:space="preserve">    Interest due to credit institutions</t>
  </si>
  <si>
    <t xml:space="preserve">    Hedging and other interest expense</t>
  </si>
  <si>
    <t xml:space="preserve">Total interest expense</t>
  </si>
  <si>
    <t xml:space="preserve">Average interest-earning assets</t>
  </si>
  <si>
    <t xml:space="preserve">Asset Quality and Provisions Schedule</t>
  </si>
  <si>
    <t xml:space="preserve">Provision roll-forward</t>
  </si>
  <si>
    <t xml:space="preserve">Opening provisions</t>
  </si>
  <si>
    <t xml:space="preserve">    Provision for credit losses</t>
  </si>
  <si>
    <t xml:space="preserve">Major non-cash operating expense; anticipates future defaults from the portfolio risk profile.</t>
  </si>
  <si>
    <t xml:space="preserve">    Provisions utilised on write-offs</t>
  </si>
  <si>
    <t xml:space="preserve">Closing provisions</t>
  </si>
  <si>
    <t xml:space="preserve">Asset quality metrics</t>
  </si>
  <si>
    <t xml:space="preserve">Provision coverage of gross loans</t>
  </si>
  <si>
    <t xml:space="preserve">Net charge-offs over average gross loans</t>
  </si>
  <si>
    <t xml:space="preserve">Risk-weighted assets</t>
  </si>
  <si>
    <t xml:space="preserve">RWA over net loans</t>
  </si>
  <si>
    <t xml:space="preserve">CET1 roll-forward</t>
  </si>
  <si>
    <t xml:space="preserve">Opening CET1 capital</t>
  </si>
  <si>
    <t xml:space="preserve">    Profit to ordinary shareholders</t>
  </si>
  <si>
    <t xml:space="preserve">    Less: total distributions</t>
  </si>
  <si>
    <t xml:space="preserve">    Deferred tax credit amortisation</t>
  </si>
  <si>
    <t xml:space="preserve">    Other movements including acquisition goodwill</t>
  </si>
  <si>
    <t xml:space="preserve">FY2025 reflects capital consumed by the Ethniki Insurance acquisition.</t>
  </si>
  <si>
    <t xml:space="preserve">Closing CET1 capital</t>
  </si>
  <si>
    <t xml:space="preserve">CET1 ratio</t>
  </si>
  <si>
    <t xml:space="preserve">Capital-constrained distribution</t>
  </si>
  <si>
    <t xml:space="preserve">    Ordinary dividend at target payout</t>
  </si>
  <si>
    <t xml:space="preserve">    Maximum distribution before breaching CET1 floor</t>
  </si>
  <si>
    <t xml:space="preserve">    Ordinary dividend paid</t>
  </si>
  <si>
    <t xml:space="preserve">The model loop: the ordinary dividend is the lesser of target payout and capital capacity.</t>
  </si>
  <si>
    <t xml:space="preserve">    Excess capital above target plus buffer</t>
  </si>
  <si>
    <t xml:space="preserve">    Buyback</t>
  </si>
  <si>
    <t xml:space="preserve">Capital generated above the target plus buffer is returned by buyback.</t>
  </si>
  <si>
    <t xml:space="preserve">Total shareholder distribution</t>
  </si>
  <si>
    <t xml:space="preserve">    Total distribution as percent of earnings</t>
  </si>
  <si>
    <t xml:space="preserve">    Distribution constrained by capital?</t>
  </si>
  <si>
    <t xml:space="preserve">Returns</t>
  </si>
  <si>
    <t xml:space="preserve">Tangible book value per share</t>
  </si>
  <si>
    <t xml:space="preserve">Return on tangible equity</t>
  </si>
  <si>
    <t xml:space="preserve">Gross written premium</t>
  </si>
  <si>
    <t xml:space="preserve">Insurance revenue recognised</t>
  </si>
  <si>
    <t xml:space="preserve">Contribution to profit before tax</t>
  </si>
  <si>
    <t xml:space="preserve">Cost of equity</t>
  </si>
  <si>
    <t xml:space="preserve">Sustainable ROTE</t>
  </si>
  <si>
    <t xml:space="preserve">Justified P/TBV = (ROTE − g) / (COE − g)</t>
  </si>
  <si>
    <t xml:space="preserve">The standard bank valuation identity. A bank earning above its cost of equity trades above book.</t>
  </si>
  <si>
    <t xml:space="preserve">Implied value per share</t>
  </si>
  <si>
    <t xml:space="preserve">Market P/TBV on FY2026E</t>
  </si>
  <si>
    <t xml:space="preserve">Market P/E on FY2026E</t>
  </si>
  <si>
    <t xml:space="preserve">Implied upside on FY2027E</t>
  </si>
  <si>
    <t xml:space="preserve">Check</t>
  </si>
  <si>
    <t xml:space="preserve">Result</t>
  </si>
  <si>
    <t xml:space="preserve">Status</t>
  </si>
  <si>
    <t xml:space="preserve">Balance sheet balances in every forecast period</t>
  </si>
  <si>
    <t xml:space="preserve">Historical balance sheet within source rounding</t>
  </si>
  <si>
    <t xml:space="preserve">Cash flow ties to balance sheet cash</t>
  </si>
  <si>
    <t xml:space="preserve">FY2024 net profit ties to reported</t>
  </si>
  <si>
    <t xml:space="preserve">FY2025 net profit ties to reported</t>
  </si>
  <si>
    <t xml:space="preserve">FY2025 net interest income ties to reported</t>
  </si>
  <si>
    <t xml:space="preserve">Provision roll-forward closes each year</t>
  </si>
  <si>
    <t xml:space="preserve">CET1 never below management target</t>
  </si>
  <si>
    <t xml:space="preserve">Cash never negative</t>
  </si>
  <si>
    <t xml:space="preserve">Capital headroom above distributions, final year</t>
  </si>
  <si>
    <t xml:space="preserve">ROTE positive throughout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</si>
</sst>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&quot;FY&quot;0"/>
    <numFmt numFmtId="166" formatCode="_(#,##0.00%_);\(#,##0.00%\);_(\–_);_(@_)"/>
    <numFmt numFmtId="167" formatCode="_(#,##0.0%_);\(#,##0.0%\);_(\–_);_(@_)"/>
    <numFmt numFmtId="168" formatCode="_(#,##0_);\(#,##0\);_(\–_);_(@_)"/>
    <numFmt numFmtId="169" formatCode="_(#,##0.0_);\(#,##0.0\);_(\–_);_(@_)"/>
    <numFmt numFmtId="170" formatCode="_(#,##0.00\x_);\(#,##0.00&quot;x)&quot;;_(\–_);_(@_)"/>
    <numFmt numFmtId="171" formatCode="_(#,##0.00_);\(#,##0.00\);_(\–_);_(@_)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3271D2"/>
      <name val="Open Sans"/>
      <family val="0"/>
      <charset val="1"/>
    </font>
    <font>
      <b val="true"/>
      <sz val="10"/>
      <color rgb="FF000000"/>
      <name val="Open Sans"/>
      <family val="0"/>
      <charset val="1"/>
    </font>
    <font>
      <sz val="10"/>
      <color rgb="FF000000"/>
      <name val="Open Sans"/>
      <family val="0"/>
      <charset val="1"/>
    </font>
    <font>
      <b val="true"/>
      <sz val="10"/>
      <color rgb="FF3271D2"/>
      <name val="Open Sans"/>
      <family val="0"/>
      <charset val="1"/>
    </font>
    <font>
      <sz val="10"/>
      <color rgb="FF3271D2"/>
      <name val="Open Sans"/>
      <family val="0"/>
      <charset val="1"/>
    </font>
    <font>
      <i val="true"/>
      <sz val="10"/>
      <color rgb="FF606060"/>
      <name val="Open Sans"/>
      <family val="0"/>
      <charset val="1"/>
    </font>
    <font>
      <sz val="9"/>
      <color rgb="FF000000"/>
      <name val="Open Sans"/>
      <family val="0"/>
      <charset val="1"/>
    </font>
    <font>
      <sz val="9"/>
      <color rgb="FF3271D2"/>
      <name val="Open Sans"/>
      <family val="0"/>
      <charset val="1"/>
    </font>
    <font>
      <i val="true"/>
      <sz val="9"/>
      <color rgb="FF808080"/>
      <name val="Open Sans"/>
      <family val="0"/>
      <charset val="1"/>
    </font>
    <font>
      <b val="true"/>
      <sz val="12"/>
      <color rgb="FF000000"/>
      <name val="Open Sans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E7F2FF"/>
        <bgColor rgb="FFF6F6F6"/>
      </patternFill>
    </fill>
    <fill>
      <patternFill patternType="solid">
        <fgColor rgb="FFF6F6F6"/>
        <bgColor rgb="FFE7F2FF"/>
      </patternFill>
    </fill>
    <fill>
      <patternFill patternType="solid">
        <fgColor rgb="FFBDD7EE"/>
        <bgColor rgb="FF99CCFF"/>
      </patternFill>
    </fill>
    <fill>
      <patternFill patternType="solid">
        <fgColor rgb="FFE2EFDA"/>
        <bgColor rgb="FFE7F2FF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7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5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5" fillId="3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5" fillId="3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5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7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5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6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7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5" fillId="3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Open Sans"/>
        <charset val="1"/>
        <family val="0"/>
        <b val="1"/>
        <color rgb="FF006100"/>
        <sz val="10"/>
      </font>
      <fill>
        <patternFill>
          <bgColor rgb="FFE2EFDA"/>
        </patternFill>
      </fill>
    </dxf>
    <dxf>
      <font>
        <name val="Open Sans"/>
        <charset val="1"/>
        <family val="0"/>
        <b val="1"/>
        <color rgb="FF9C0006"/>
        <sz val="10"/>
      </font>
      <fill>
        <patternFill>
          <bgColor rgb="FFF8D7DA"/>
        </patternFill>
      </fill>
    </dxf>
  </dxfs>
  <colors>
    <indexedColors>
      <rgbColor rgb="FF000000"/>
      <rgbColor rgb="FFF6F6F6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7F2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8D7DA"/>
      <rgbColor rgb="FF3271D2"/>
      <rgbColor rgb="FF33CCCC"/>
      <rgbColor rgb="FF99CC00"/>
      <rgbColor rgb="FFFFCC00"/>
      <rgbColor rgb="FFFF9900"/>
      <rgbColor rgb="FFFF6600"/>
      <rgbColor rgb="FF60606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3:G3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9.1"/>
    <col collapsed="false" customWidth="true" hidden="false" outlineLevel="0" max="2" min="2" style="1" width="41.1"/>
    <col collapsed="false" customWidth="true" hidden="false" outlineLevel="0" max="3" min="3" style="1" width="13.1"/>
    <col collapsed="false" customWidth="true" hidden="false" outlineLevel="0" max="7" min="4" style="1" width="13"/>
  </cols>
  <sheetData>
    <row r="3" customFormat="false" ht="21.75" hidden="false" customHeight="true" outlineLevel="0" collapsed="false">
      <c r="B3" s="2" t="s">
        <v>0</v>
      </c>
      <c r="C3" s="2"/>
      <c r="D3" s="2"/>
      <c r="E3" s="2"/>
      <c r="F3" s="2"/>
      <c r="G3" s="2"/>
    </row>
    <row r="5" customFormat="false" ht="15" hidden="false" customHeight="true" outlineLevel="0" collapsed="false">
      <c r="B5" s="3" t="s">
        <v>1</v>
      </c>
      <c r="C5" s="4" t="s">
        <v>2</v>
      </c>
      <c r="D5" s="4"/>
      <c r="E5" s="4"/>
      <c r="F5" s="4"/>
      <c r="G5" s="4"/>
    </row>
    <row r="6" customFormat="false" ht="15" hidden="false" customHeight="true" outlineLevel="0" collapsed="false">
      <c r="B6" s="3" t="s">
        <v>3</v>
      </c>
      <c r="C6" s="4" t="s">
        <v>4</v>
      </c>
      <c r="D6" s="4"/>
      <c r="E6" s="4"/>
      <c r="F6" s="4"/>
      <c r="G6" s="4"/>
    </row>
    <row r="7" customFormat="false" ht="15" hidden="false" customHeight="true" outlineLevel="0" collapsed="false">
      <c r="B7" s="3" t="s">
        <v>5</v>
      </c>
      <c r="C7" s="4" t="s">
        <v>6</v>
      </c>
      <c r="D7" s="4"/>
      <c r="E7" s="4"/>
      <c r="F7" s="4"/>
      <c r="G7" s="4"/>
    </row>
    <row r="8" customFormat="false" ht="15" hidden="false" customHeight="true" outlineLevel="0" collapsed="false">
      <c r="B8" s="3" t="s">
        <v>7</v>
      </c>
      <c r="C8" s="4" t="s">
        <v>8</v>
      </c>
      <c r="D8" s="4"/>
      <c r="E8" s="4"/>
      <c r="F8" s="4"/>
      <c r="G8" s="4"/>
    </row>
    <row r="9" customFormat="false" ht="15" hidden="false" customHeight="true" outlineLevel="0" collapsed="false">
      <c r="B9" s="3" t="s">
        <v>9</v>
      </c>
      <c r="C9" s="4" t="s">
        <v>10</v>
      </c>
      <c r="D9" s="4"/>
      <c r="E9" s="4"/>
      <c r="F9" s="4"/>
      <c r="G9" s="4"/>
    </row>
    <row r="10" customFormat="false" ht="15" hidden="false" customHeight="true" outlineLevel="0" collapsed="false">
      <c r="B10" s="3" t="s">
        <v>11</v>
      </c>
      <c r="C10" s="4" t="s">
        <v>12</v>
      </c>
      <c r="D10" s="4"/>
      <c r="E10" s="4"/>
      <c r="F10" s="4"/>
      <c r="G10" s="4"/>
    </row>
    <row r="11" customFormat="false" ht="15" hidden="false" customHeight="true" outlineLevel="0" collapsed="false">
      <c r="B11" s="3" t="s">
        <v>13</v>
      </c>
      <c r="C11" s="4" t="s">
        <v>14</v>
      </c>
      <c r="D11" s="4"/>
      <c r="E11" s="4"/>
      <c r="F11" s="4"/>
      <c r="G11" s="4"/>
    </row>
    <row r="12" customFormat="false" ht="15" hidden="false" customHeight="true" outlineLevel="0" collapsed="false">
      <c r="B12" s="3" t="s">
        <v>15</v>
      </c>
      <c r="C12" s="4" t="s">
        <v>16</v>
      </c>
      <c r="D12" s="4"/>
      <c r="E12" s="4"/>
      <c r="F12" s="4"/>
      <c r="G12" s="4"/>
    </row>
    <row r="14" customFormat="false" ht="21.75" hidden="false" customHeight="true" outlineLevel="0" collapsed="false">
      <c r="B14" s="2" t="s">
        <v>17</v>
      </c>
      <c r="C14" s="2"/>
      <c r="D14" s="2"/>
      <c r="E14" s="2"/>
      <c r="F14" s="2"/>
      <c r="G14" s="2"/>
    </row>
    <row r="16" customFormat="false" ht="15" hidden="false" customHeight="true" outlineLevel="0" collapsed="false">
      <c r="B16" s="5" t="s">
        <v>18</v>
      </c>
      <c r="C16" s="4" t="s">
        <v>19</v>
      </c>
      <c r="D16" s="4"/>
      <c r="E16" s="4"/>
      <c r="F16" s="4"/>
      <c r="G16" s="4"/>
    </row>
    <row r="17" customFormat="false" ht="15" hidden="false" customHeight="true" outlineLevel="0" collapsed="false">
      <c r="B17" s="5" t="s">
        <v>20</v>
      </c>
      <c r="C17" s="4" t="s">
        <v>21</v>
      </c>
      <c r="D17" s="4"/>
      <c r="E17" s="4"/>
      <c r="F17" s="4"/>
      <c r="G17" s="4"/>
    </row>
    <row r="18" customFormat="false" ht="15" hidden="false" customHeight="true" outlineLevel="0" collapsed="false">
      <c r="B18" s="5" t="s">
        <v>22</v>
      </c>
      <c r="C18" s="4" t="s">
        <v>23</v>
      </c>
      <c r="D18" s="4"/>
      <c r="E18" s="4"/>
      <c r="F18" s="4"/>
      <c r="G18" s="4"/>
    </row>
    <row r="19" customFormat="false" ht="15" hidden="false" customHeight="true" outlineLevel="0" collapsed="false">
      <c r="B19" s="5" t="s">
        <v>24</v>
      </c>
      <c r="C19" s="4" t="s">
        <v>25</v>
      </c>
      <c r="D19" s="4"/>
      <c r="E19" s="4"/>
      <c r="F19" s="4"/>
      <c r="G19" s="4"/>
    </row>
    <row r="20" customFormat="false" ht="15" hidden="false" customHeight="true" outlineLevel="0" collapsed="false">
      <c r="B20" s="5" t="s">
        <v>26</v>
      </c>
      <c r="C20" s="4" t="s">
        <v>27</v>
      </c>
      <c r="D20" s="4"/>
      <c r="E20" s="4"/>
      <c r="F20" s="4"/>
      <c r="G20" s="4"/>
    </row>
    <row r="21" customFormat="false" ht="15" hidden="false" customHeight="true" outlineLevel="0" collapsed="false">
      <c r="B21" s="5" t="s">
        <v>28</v>
      </c>
      <c r="C21" s="4" t="s">
        <v>29</v>
      </c>
      <c r="D21" s="4"/>
      <c r="E21" s="4"/>
      <c r="F21" s="4"/>
      <c r="G21" s="4"/>
    </row>
    <row r="22" customFormat="false" ht="15" hidden="false" customHeight="true" outlineLevel="0" collapsed="false">
      <c r="B22" s="5" t="s">
        <v>30</v>
      </c>
      <c r="C22" s="4" t="s">
        <v>31</v>
      </c>
      <c r="D22" s="4"/>
      <c r="E22" s="4"/>
      <c r="F22" s="4"/>
      <c r="G22" s="4"/>
    </row>
    <row r="23" customFormat="false" ht="15" hidden="false" customHeight="true" outlineLevel="0" collapsed="false">
      <c r="B23" s="5" t="s">
        <v>32</v>
      </c>
      <c r="C23" s="4" t="s">
        <v>33</v>
      </c>
      <c r="D23" s="4"/>
      <c r="E23" s="4"/>
      <c r="F23" s="4"/>
      <c r="G23" s="4"/>
    </row>
    <row r="24" customFormat="false" ht="15" hidden="false" customHeight="true" outlineLevel="0" collapsed="false">
      <c r="B24" s="5" t="s">
        <v>34</v>
      </c>
      <c r="C24" s="4" t="s">
        <v>35</v>
      </c>
      <c r="D24" s="4"/>
      <c r="E24" s="4"/>
      <c r="F24" s="4"/>
      <c r="G24" s="4"/>
    </row>
    <row r="25" customFormat="false" ht="15" hidden="false" customHeight="true" outlineLevel="0" collapsed="false">
      <c r="B25" s="5" t="s">
        <v>36</v>
      </c>
      <c r="C25" s="4" t="s">
        <v>37</v>
      </c>
      <c r="D25" s="4"/>
      <c r="E25" s="4"/>
      <c r="F25" s="4"/>
      <c r="G25" s="4"/>
    </row>
    <row r="27" customFormat="false" ht="21.75" hidden="false" customHeight="true" outlineLevel="0" collapsed="false">
      <c r="B27" s="2" t="s">
        <v>38</v>
      </c>
      <c r="C27" s="2"/>
      <c r="D27" s="2"/>
      <c r="E27" s="2"/>
      <c r="F27" s="2"/>
      <c r="G27" s="2"/>
    </row>
    <row r="29" customFormat="false" ht="15" hidden="false" customHeight="true" outlineLevel="0" collapsed="false">
      <c r="B29" s="6" t="s">
        <v>39</v>
      </c>
    </row>
    <row r="30" customFormat="false" ht="15" hidden="false" customHeight="true" outlineLevel="0" collapsed="false">
      <c r="B30" s="7" t="s">
        <v>40</v>
      </c>
    </row>
    <row r="31" customFormat="false" ht="15" hidden="false" customHeight="true" outlineLevel="0" collapsed="false">
      <c r="B31" s="8" t="s">
        <v>41</v>
      </c>
    </row>
    <row r="32" customFormat="false" ht="15" hidden="false" customHeight="true" outlineLevel="0" collapsed="false">
      <c r="B32" s="9" t="s">
        <v>42</v>
      </c>
    </row>
    <row r="34" customFormat="false" ht="15" hidden="false" customHeight="true" outlineLevel="0" collapsed="false">
      <c r="B34" s="10" t="s">
        <v>43</v>
      </c>
      <c r="C34" s="10"/>
      <c r="D34" s="10"/>
      <c r="E34" s="10"/>
      <c r="F34" s="10"/>
      <c r="G34" s="10"/>
    </row>
    <row r="35" customFormat="false" ht="15" hidden="false" customHeight="true" outlineLevel="0" collapsed="false">
      <c r="B35" s="10"/>
      <c r="C35" s="10"/>
      <c r="D35" s="10"/>
      <c r="E35" s="10"/>
      <c r="F35" s="10"/>
      <c r="G35" s="10"/>
    </row>
    <row r="36" customFormat="false" ht="15" hidden="false" customHeight="true" outlineLevel="0" collapsed="false">
      <c r="B36" s="10"/>
      <c r="C36" s="10"/>
      <c r="D36" s="10"/>
      <c r="E36" s="10"/>
      <c r="F36" s="10"/>
      <c r="G36" s="10"/>
    </row>
  </sheetData>
  <mergeCells count="22">
    <mergeCell ref="B3:G3"/>
    <mergeCell ref="C5:G5"/>
    <mergeCell ref="C6:G6"/>
    <mergeCell ref="C7:G7"/>
    <mergeCell ref="C8:G8"/>
    <mergeCell ref="C9:G9"/>
    <mergeCell ref="C10:G10"/>
    <mergeCell ref="C11:G11"/>
    <mergeCell ref="C12:G12"/>
    <mergeCell ref="B14:G14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B27:G27"/>
    <mergeCell ref="B34:G3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3:L30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9.1"/>
    <col collapsed="false" customWidth="true" hidden="false" outlineLevel="0" max="2" min="2" style="1" width="41.1"/>
    <col collapsed="false" customWidth="true" hidden="false" outlineLevel="0" max="3" min="3" style="1" width="13.1"/>
    <col collapsed="false" customWidth="true" hidden="false" outlineLevel="0" max="10" min="4" style="1" width="13"/>
    <col collapsed="false" customWidth="true" hidden="false" outlineLevel="0" max="11" min="11" style="1" width="3"/>
    <col collapsed="false" customWidth="true" hidden="false" outlineLevel="0" max="12" min="12" style="1" width="54"/>
  </cols>
  <sheetData>
    <row r="3" customFormat="false" ht="21.75" hidden="false" customHeight="true" outlineLevel="0" collapsed="false">
      <c r="B3" s="11" t="s">
        <v>18</v>
      </c>
      <c r="C3" s="11"/>
      <c r="D3" s="11"/>
      <c r="E3" s="11"/>
      <c r="F3" s="11"/>
      <c r="G3" s="11"/>
      <c r="H3" s="11"/>
      <c r="I3" s="11"/>
      <c r="J3" s="11"/>
    </row>
    <row r="5" customFormat="false" ht="15" hidden="false" customHeight="true" outlineLevel="0" collapsed="false">
      <c r="B5" s="12" t="s">
        <v>44</v>
      </c>
      <c r="D5" s="13" t="n">
        <v>2024</v>
      </c>
      <c r="E5" s="13" t="n">
        <v>2025</v>
      </c>
      <c r="F5" s="13" t="n">
        <v>2026</v>
      </c>
      <c r="G5" s="13" t="n">
        <v>2027</v>
      </c>
      <c r="H5" s="13" t="n">
        <v>2028</v>
      </c>
      <c r="I5" s="13" t="n">
        <v>2029</v>
      </c>
      <c r="J5" s="13" t="n">
        <v>2030</v>
      </c>
    </row>
    <row r="6" customFormat="false" ht="15" hidden="false" customHeight="true" outlineLevel="0" collapsed="false">
      <c r="B6" s="12" t="s">
        <v>45</v>
      </c>
      <c r="D6" s="14" t="s">
        <v>46</v>
      </c>
      <c r="E6" s="14" t="s">
        <v>46</v>
      </c>
      <c r="F6" s="14" t="s">
        <v>47</v>
      </c>
      <c r="G6" s="14" t="s">
        <v>47</v>
      </c>
      <c r="H6" s="14" t="s">
        <v>47</v>
      </c>
      <c r="I6" s="14" t="s">
        <v>47</v>
      </c>
      <c r="J6" s="14" t="s">
        <v>47</v>
      </c>
    </row>
    <row r="8" customFormat="false" ht="15" hidden="false" customHeight="true" outlineLevel="0" collapsed="false">
      <c r="B8" s="3" t="s">
        <v>48</v>
      </c>
    </row>
    <row r="9" customFormat="false" ht="21.75" hidden="false" customHeight="true" outlineLevel="0" collapsed="false">
      <c r="B9" s="7" t="s">
        <v>49</v>
      </c>
      <c r="C9" s="7" t="s">
        <v>50</v>
      </c>
      <c r="D9" s="15" t="n">
        <v>0.03577</v>
      </c>
      <c r="E9" s="15" t="n">
        <v>0.02416</v>
      </c>
      <c r="F9" s="15" t="n">
        <v>0.0205</v>
      </c>
      <c r="G9" s="15" t="n">
        <v>0.02</v>
      </c>
      <c r="H9" s="15" t="n">
        <v>0.021</v>
      </c>
      <c r="I9" s="15" t="n">
        <v>0.022</v>
      </c>
      <c r="J9" s="15" t="n">
        <v>0.0225</v>
      </c>
      <c r="L9" s="16" t="s">
        <v>51</v>
      </c>
    </row>
    <row r="10" customFormat="false" ht="15" hidden="false" customHeight="true" outlineLevel="0" collapsed="false">
      <c r="B10" s="7" t="s">
        <v>52</v>
      </c>
      <c r="C10" s="7" t="s">
        <v>50</v>
      </c>
      <c r="D10" s="17" t="n">
        <v>0.023</v>
      </c>
      <c r="E10" s="17" t="n">
        <v>0.022</v>
      </c>
      <c r="F10" s="17" t="n">
        <v>0.02</v>
      </c>
      <c r="G10" s="17" t="n">
        <v>0.02</v>
      </c>
      <c r="H10" s="17" t="n">
        <v>0.019</v>
      </c>
      <c r="I10" s="17" t="n">
        <v>0.018</v>
      </c>
      <c r="J10" s="17" t="n">
        <v>0.018</v>
      </c>
    </row>
    <row r="12" customFormat="false" ht="15" hidden="false" customHeight="true" outlineLevel="0" collapsed="false">
      <c r="B12" s="3" t="s">
        <v>53</v>
      </c>
    </row>
    <row r="13" customFormat="false" ht="15" hidden="false" customHeight="true" outlineLevel="0" collapsed="false">
      <c r="B13" s="7" t="s">
        <v>54</v>
      </c>
      <c r="C13" s="7" t="s">
        <v>50</v>
      </c>
      <c r="F13" s="15" t="n">
        <v>0.0415</v>
      </c>
      <c r="G13" s="15" t="n">
        <v>0.0405</v>
      </c>
      <c r="H13" s="15" t="n">
        <v>0.041</v>
      </c>
      <c r="I13" s="15" t="n">
        <v>0.0415</v>
      </c>
      <c r="J13" s="15" t="n">
        <v>0.042</v>
      </c>
      <c r="L13" s="16" t="s">
        <v>55</v>
      </c>
    </row>
    <row r="14" customFormat="false" ht="15" hidden="false" customHeight="true" outlineLevel="0" collapsed="false">
      <c r="B14" s="7" t="s">
        <v>56</v>
      </c>
      <c r="C14" s="7" t="s">
        <v>50</v>
      </c>
      <c r="F14" s="15" t="n">
        <v>0.0305</v>
      </c>
      <c r="G14" s="15" t="n">
        <v>0.03</v>
      </c>
      <c r="H14" s="15" t="n">
        <v>0.0305</v>
      </c>
      <c r="I14" s="15" t="n">
        <v>0.031</v>
      </c>
      <c r="J14" s="15" t="n">
        <v>0.0315</v>
      </c>
    </row>
    <row r="15" customFormat="false" ht="21.75" hidden="false" customHeight="true" outlineLevel="0" collapsed="false">
      <c r="B15" s="7" t="s">
        <v>57</v>
      </c>
      <c r="C15" s="7" t="s">
        <v>50</v>
      </c>
      <c r="F15" s="15" t="n">
        <v>0.0038</v>
      </c>
      <c r="G15" s="15" t="n">
        <v>0.004</v>
      </c>
      <c r="H15" s="15" t="n">
        <v>0.0044</v>
      </c>
      <c r="I15" s="15" t="n">
        <v>0.0047</v>
      </c>
      <c r="J15" s="15" t="n">
        <v>0.0048</v>
      </c>
      <c r="L15" s="16" t="s">
        <v>58</v>
      </c>
    </row>
    <row r="16" customFormat="false" ht="15" hidden="false" customHeight="true" outlineLevel="0" collapsed="false">
      <c r="B16" s="7" t="s">
        <v>59</v>
      </c>
      <c r="C16" s="7" t="s">
        <v>50</v>
      </c>
      <c r="F16" s="15" t="n">
        <v>0.043</v>
      </c>
      <c r="G16" s="15" t="n">
        <v>0.042</v>
      </c>
      <c r="H16" s="15" t="n">
        <v>0.0415</v>
      </c>
      <c r="I16" s="15" t="n">
        <v>0.0415</v>
      </c>
      <c r="J16" s="15" t="n">
        <v>0.0415</v>
      </c>
    </row>
    <row r="17" customFormat="false" ht="15" hidden="false" customHeight="true" outlineLevel="0" collapsed="false">
      <c r="B17" s="7" t="s">
        <v>60</v>
      </c>
      <c r="C17" s="7" t="s">
        <v>50</v>
      </c>
      <c r="F17" s="17" t="n">
        <v>0.14</v>
      </c>
      <c r="G17" s="17" t="n">
        <v>0.07</v>
      </c>
      <c r="H17" s="17" t="n">
        <v>0.06</v>
      </c>
      <c r="I17" s="17" t="n">
        <v>0.055</v>
      </c>
      <c r="J17" s="17" t="n">
        <v>0.05</v>
      </c>
    </row>
    <row r="18" customFormat="false" ht="15" hidden="false" customHeight="true" outlineLevel="0" collapsed="false">
      <c r="B18" s="7" t="s">
        <v>61</v>
      </c>
      <c r="C18" s="7" t="s">
        <v>50</v>
      </c>
      <c r="F18" s="17" t="n">
        <v>0.035</v>
      </c>
      <c r="G18" s="17" t="n">
        <v>0.03</v>
      </c>
      <c r="H18" s="17" t="n">
        <v>0.028</v>
      </c>
      <c r="I18" s="17" t="n">
        <v>0.025</v>
      </c>
      <c r="J18" s="17" t="n">
        <v>0.025</v>
      </c>
    </row>
    <row r="19" customFormat="false" ht="15" hidden="false" customHeight="true" outlineLevel="0" collapsed="false">
      <c r="B19" s="7" t="s">
        <v>62</v>
      </c>
      <c r="C19" s="7" t="s">
        <v>50</v>
      </c>
      <c r="F19" s="17" t="n">
        <v>0.04</v>
      </c>
      <c r="G19" s="17" t="n">
        <v>0.03</v>
      </c>
      <c r="H19" s="17" t="n">
        <v>0.028</v>
      </c>
      <c r="I19" s="17" t="n">
        <v>0.025</v>
      </c>
      <c r="J19" s="17" t="n">
        <v>0.025</v>
      </c>
    </row>
    <row r="20" customFormat="false" ht="15" hidden="false" customHeight="true" outlineLevel="0" collapsed="false">
      <c r="B20" s="7" t="s">
        <v>63</v>
      </c>
      <c r="C20" s="7" t="s">
        <v>50</v>
      </c>
      <c r="F20" s="15" t="n">
        <v>0.0029</v>
      </c>
      <c r="G20" s="15" t="n">
        <v>0.0029</v>
      </c>
      <c r="H20" s="15" t="n">
        <v>0.0028</v>
      </c>
      <c r="I20" s="15" t="n">
        <v>0.0028</v>
      </c>
      <c r="J20" s="15" t="n">
        <v>0.0027</v>
      </c>
    </row>
    <row r="21" customFormat="false" ht="15" hidden="false" customHeight="true" outlineLevel="0" collapsed="false">
      <c r="B21" s="7" t="s">
        <v>64</v>
      </c>
      <c r="C21" s="7" t="s">
        <v>65</v>
      </c>
      <c r="F21" s="18" t="n">
        <v>48</v>
      </c>
      <c r="G21" s="18" t="n">
        <v>52</v>
      </c>
      <c r="H21" s="18" t="n">
        <v>55</v>
      </c>
      <c r="I21" s="18" t="n">
        <v>57</v>
      </c>
      <c r="J21" s="18" t="n">
        <v>58</v>
      </c>
    </row>
    <row r="22" customFormat="false" ht="15" hidden="false" customHeight="true" outlineLevel="0" collapsed="false">
      <c r="B22" s="7" t="s">
        <v>66</v>
      </c>
      <c r="C22" s="7" t="s">
        <v>67</v>
      </c>
      <c r="F22" s="18" t="n">
        <v>70</v>
      </c>
      <c r="G22" s="18" t="n">
        <v>75</v>
      </c>
      <c r="H22" s="18" t="n">
        <v>75</v>
      </c>
      <c r="I22" s="18" t="n">
        <v>75</v>
      </c>
      <c r="J22" s="18" t="n">
        <v>75</v>
      </c>
    </row>
    <row r="23" customFormat="false" ht="15" hidden="false" customHeight="true" outlineLevel="0" collapsed="false">
      <c r="B23" s="7" t="s">
        <v>68</v>
      </c>
      <c r="C23" s="7" t="s">
        <v>50</v>
      </c>
      <c r="F23" s="17" t="n">
        <v>0.25</v>
      </c>
      <c r="G23" s="17" t="n">
        <v>0.25</v>
      </c>
      <c r="H23" s="17" t="n">
        <v>0.25</v>
      </c>
      <c r="I23" s="17" t="n">
        <v>0.25</v>
      </c>
      <c r="J23" s="17" t="n">
        <v>0.25</v>
      </c>
    </row>
    <row r="24" customFormat="false" ht="15" hidden="false" customHeight="true" outlineLevel="0" collapsed="false">
      <c r="B24" s="7" t="s">
        <v>69</v>
      </c>
      <c r="C24" s="7" t="s">
        <v>67</v>
      </c>
      <c r="F24" s="18" t="n">
        <v>6</v>
      </c>
      <c r="G24" s="18" t="n">
        <v>8</v>
      </c>
      <c r="H24" s="18" t="n">
        <v>9</v>
      </c>
      <c r="I24" s="18" t="n">
        <v>10</v>
      </c>
      <c r="J24" s="18" t="n">
        <v>10</v>
      </c>
    </row>
    <row r="25" customFormat="false" ht="21.75" hidden="false" customHeight="true" outlineLevel="0" collapsed="false">
      <c r="B25" s="7" t="s">
        <v>70</v>
      </c>
      <c r="C25" s="7" t="s">
        <v>67</v>
      </c>
      <c r="F25" s="19" t="n">
        <v>100</v>
      </c>
      <c r="G25" s="19" t="n">
        <v>102</v>
      </c>
      <c r="H25" s="19" t="n">
        <v>104</v>
      </c>
      <c r="I25" s="19" t="n">
        <v>106</v>
      </c>
      <c r="J25" s="19" t="n">
        <v>108</v>
      </c>
      <c r="L25" s="16" t="s">
        <v>71</v>
      </c>
    </row>
    <row r="27" customFormat="false" ht="15" hidden="false" customHeight="true" outlineLevel="0" collapsed="false">
      <c r="B27" s="3" t="s">
        <v>72</v>
      </c>
    </row>
    <row r="28" customFormat="false" ht="15" hidden="false" customHeight="true" outlineLevel="0" collapsed="false">
      <c r="B28" s="7" t="s">
        <v>73</v>
      </c>
      <c r="C28" s="7" t="s">
        <v>50</v>
      </c>
      <c r="F28" s="17" t="n">
        <v>0.075</v>
      </c>
      <c r="G28" s="17" t="n">
        <v>0.065</v>
      </c>
      <c r="H28" s="17" t="n">
        <v>0.06</v>
      </c>
      <c r="I28" s="17" t="n">
        <v>0.055</v>
      </c>
      <c r="J28" s="17" t="n">
        <v>0.05</v>
      </c>
    </row>
    <row r="29" customFormat="false" ht="15" hidden="false" customHeight="true" outlineLevel="0" collapsed="false">
      <c r="B29" s="7" t="s">
        <v>74</v>
      </c>
      <c r="C29" s="7" t="s">
        <v>50</v>
      </c>
      <c r="F29" s="17" t="n">
        <v>0.05</v>
      </c>
      <c r="G29" s="17" t="n">
        <v>0.04</v>
      </c>
      <c r="H29" s="17" t="n">
        <v>0.035</v>
      </c>
      <c r="I29" s="17" t="n">
        <v>0.035</v>
      </c>
      <c r="J29" s="17" t="n">
        <v>0.03</v>
      </c>
    </row>
    <row r="30" customFormat="false" ht="15" hidden="false" customHeight="true" outlineLevel="0" collapsed="false">
      <c r="B30" s="7" t="s">
        <v>75</v>
      </c>
      <c r="C30" s="7" t="s">
        <v>50</v>
      </c>
      <c r="F30" s="17" t="n">
        <v>0.1</v>
      </c>
      <c r="G30" s="17" t="n">
        <v>0.04</v>
      </c>
      <c r="H30" s="17" t="n">
        <v>0.03</v>
      </c>
      <c r="I30" s="17" t="n">
        <v>0.03</v>
      </c>
      <c r="J30" s="17" t="n">
        <v>0.03</v>
      </c>
    </row>
    <row r="31" customFormat="false" ht="15" hidden="false" customHeight="true" outlineLevel="0" collapsed="false">
      <c r="B31" s="7" t="s">
        <v>76</v>
      </c>
      <c r="C31" s="7" t="s">
        <v>67</v>
      </c>
      <c r="F31" s="18" t="n">
        <v>5600</v>
      </c>
      <c r="G31" s="18" t="n">
        <v>5800</v>
      </c>
      <c r="H31" s="18" t="n">
        <v>6000</v>
      </c>
      <c r="I31" s="18" t="n">
        <v>6100</v>
      </c>
      <c r="J31" s="18" t="n">
        <v>6200</v>
      </c>
    </row>
    <row r="32" customFormat="false" ht="21.75" hidden="false" customHeight="true" outlineLevel="0" collapsed="false">
      <c r="B32" s="7" t="s">
        <v>77</v>
      </c>
      <c r="C32" s="7" t="s">
        <v>67</v>
      </c>
      <c r="F32" s="18" t="n">
        <v>400</v>
      </c>
      <c r="G32" s="18" t="n">
        <v>400</v>
      </c>
      <c r="H32" s="18" t="n">
        <v>400</v>
      </c>
      <c r="I32" s="18" t="n">
        <v>400</v>
      </c>
      <c r="J32" s="18" t="n">
        <v>400</v>
      </c>
      <c r="L32" s="16" t="s">
        <v>78</v>
      </c>
    </row>
    <row r="33" customFormat="false" ht="21.75" hidden="false" customHeight="true" outlineLevel="0" collapsed="false">
      <c r="B33" s="7" t="s">
        <v>79</v>
      </c>
      <c r="C33" s="7" t="s">
        <v>67</v>
      </c>
      <c r="F33" s="18" t="n">
        <v>220</v>
      </c>
      <c r="G33" s="18" t="n">
        <v>220</v>
      </c>
      <c r="H33" s="18" t="n">
        <v>225</v>
      </c>
      <c r="I33" s="18" t="n">
        <v>225</v>
      </c>
      <c r="J33" s="18" t="n">
        <v>230</v>
      </c>
      <c r="L33" s="16" t="s">
        <v>80</v>
      </c>
    </row>
    <row r="35" customFormat="false" ht="15" hidden="false" customHeight="true" outlineLevel="0" collapsed="false">
      <c r="B35" s="3" t="s">
        <v>81</v>
      </c>
    </row>
    <row r="36" customFormat="false" ht="15" hidden="false" customHeight="true" outlineLevel="0" collapsed="false">
      <c r="B36" s="7" t="s">
        <v>82</v>
      </c>
      <c r="C36" s="7" t="s">
        <v>50</v>
      </c>
      <c r="F36" s="17" t="n">
        <v>0.78</v>
      </c>
      <c r="G36" s="17" t="n">
        <v>0.775</v>
      </c>
      <c r="H36" s="17" t="n">
        <v>0.77</v>
      </c>
      <c r="I36" s="17" t="n">
        <v>0.765</v>
      </c>
      <c r="J36" s="17" t="n">
        <v>0.76</v>
      </c>
      <c r="L36" s="16" t="s">
        <v>83</v>
      </c>
    </row>
    <row r="37" customFormat="false" ht="15" hidden="false" customHeight="true" outlineLevel="0" collapsed="false">
      <c r="B37" s="7" t="s">
        <v>84</v>
      </c>
      <c r="C37" s="7" t="s">
        <v>50</v>
      </c>
      <c r="F37" s="17" t="n">
        <v>0.13</v>
      </c>
      <c r="G37" s="17" t="n">
        <v>0.13</v>
      </c>
      <c r="H37" s="17" t="n">
        <v>0.13</v>
      </c>
      <c r="I37" s="17" t="n">
        <v>0.13</v>
      </c>
      <c r="J37" s="17" t="n">
        <v>0.13</v>
      </c>
      <c r="L37" s="16" t="s">
        <v>85</v>
      </c>
    </row>
    <row r="38" customFormat="false" ht="15" hidden="false" customHeight="true" outlineLevel="0" collapsed="false">
      <c r="B38" s="7" t="s">
        <v>86</v>
      </c>
      <c r="C38" s="7" t="s">
        <v>50</v>
      </c>
      <c r="F38" s="17" t="n">
        <v>0.005</v>
      </c>
      <c r="G38" s="17" t="n">
        <v>0.005</v>
      </c>
      <c r="H38" s="17" t="n">
        <v>0.005</v>
      </c>
      <c r="I38" s="17" t="n">
        <v>0.005</v>
      </c>
      <c r="J38" s="17" t="n">
        <v>0.005</v>
      </c>
    </row>
    <row r="39" customFormat="false" ht="15" hidden="false" customHeight="true" outlineLevel="0" collapsed="false">
      <c r="B39" s="7" t="s">
        <v>87</v>
      </c>
      <c r="C39" s="7" t="s">
        <v>50</v>
      </c>
      <c r="F39" s="17" t="n">
        <v>0.57</v>
      </c>
      <c r="G39" s="17" t="n">
        <v>0.57</v>
      </c>
      <c r="H39" s="17" t="n">
        <v>0.57</v>
      </c>
      <c r="I39" s="17" t="n">
        <v>0.57</v>
      </c>
      <c r="J39" s="17" t="n">
        <v>0.57</v>
      </c>
      <c r="L39" s="16" t="s">
        <v>88</v>
      </c>
    </row>
    <row r="40" customFormat="false" ht="15" hidden="false" customHeight="true" outlineLevel="0" collapsed="false">
      <c r="B40" s="7" t="s">
        <v>89</v>
      </c>
      <c r="C40" s="7" t="s">
        <v>67</v>
      </c>
      <c r="F40" s="18" t="n">
        <v>85</v>
      </c>
      <c r="G40" s="18" t="n">
        <v>85</v>
      </c>
      <c r="H40" s="18" t="n">
        <v>85</v>
      </c>
      <c r="I40" s="18" t="n">
        <v>85</v>
      </c>
      <c r="J40" s="18" t="n">
        <v>85</v>
      </c>
    </row>
    <row r="42" customFormat="false" ht="15" hidden="false" customHeight="true" outlineLevel="0" collapsed="false">
      <c r="B42" s="3" t="s">
        <v>90</v>
      </c>
    </row>
    <row r="43" customFormat="false" ht="15" hidden="false" customHeight="true" outlineLevel="0" collapsed="false">
      <c r="B43" s="7" t="s">
        <v>91</v>
      </c>
      <c r="C43" s="7" t="s">
        <v>50</v>
      </c>
      <c r="F43" s="17" t="n">
        <v>0.04</v>
      </c>
      <c r="G43" s="17" t="n">
        <v>0.045</v>
      </c>
      <c r="H43" s="17" t="n">
        <v>0.045</v>
      </c>
      <c r="I43" s="17" t="n">
        <v>0.04</v>
      </c>
      <c r="J43" s="17" t="n">
        <v>0.04</v>
      </c>
    </row>
    <row r="44" customFormat="false" ht="21.75" hidden="false" customHeight="true" outlineLevel="0" collapsed="false">
      <c r="B44" s="7" t="s">
        <v>92</v>
      </c>
      <c r="C44" s="7" t="s">
        <v>50</v>
      </c>
      <c r="F44" s="17" t="n">
        <v>0.93</v>
      </c>
      <c r="G44" s="17" t="n">
        <v>0.93</v>
      </c>
      <c r="H44" s="17" t="n">
        <v>0.925</v>
      </c>
      <c r="I44" s="17" t="n">
        <v>0.925</v>
      </c>
      <c r="J44" s="17" t="n">
        <v>0.92</v>
      </c>
      <c r="L44" s="16" t="s">
        <v>93</v>
      </c>
    </row>
    <row r="46" customFormat="false" ht="15" hidden="false" customHeight="true" outlineLevel="0" collapsed="false">
      <c r="B46" s="3" t="s">
        <v>94</v>
      </c>
    </row>
    <row r="47" customFormat="false" ht="15" hidden="false" customHeight="true" outlineLevel="0" collapsed="false">
      <c r="B47" s="7" t="s">
        <v>95</v>
      </c>
      <c r="C47" s="7" t="s">
        <v>50</v>
      </c>
      <c r="D47" s="17" t="n">
        <v>0.032</v>
      </c>
      <c r="E47" s="17" t="n">
        <v>0.032</v>
      </c>
      <c r="F47" s="17" t="n">
        <v>0.032</v>
      </c>
      <c r="G47" s="17" t="n">
        <v>0.032</v>
      </c>
      <c r="H47" s="17" t="n">
        <v>0.032</v>
      </c>
      <c r="I47" s="17" t="n">
        <v>0.032</v>
      </c>
      <c r="J47" s="17" t="n">
        <v>0.032</v>
      </c>
    </row>
    <row r="48" customFormat="false" ht="15" hidden="false" customHeight="true" outlineLevel="0" collapsed="false">
      <c r="B48" s="7" t="s">
        <v>96</v>
      </c>
      <c r="C48" s="7" t="s">
        <v>50</v>
      </c>
      <c r="D48" s="17" t="n">
        <v>0.055</v>
      </c>
      <c r="E48" s="17" t="n">
        <v>0.055</v>
      </c>
      <c r="F48" s="17" t="n">
        <v>0.055</v>
      </c>
      <c r="G48" s="17" t="n">
        <v>0.055</v>
      </c>
      <c r="H48" s="17" t="n">
        <v>0.055</v>
      </c>
      <c r="I48" s="17" t="n">
        <v>0.055</v>
      </c>
      <c r="J48" s="17" t="n">
        <v>0.055</v>
      </c>
    </row>
    <row r="49" customFormat="false" ht="15" hidden="false" customHeight="true" outlineLevel="0" collapsed="false">
      <c r="B49" s="7" t="s">
        <v>97</v>
      </c>
      <c r="C49" s="7" t="s">
        <v>98</v>
      </c>
      <c r="D49" s="20" t="n">
        <v>1.25</v>
      </c>
      <c r="E49" s="20" t="n">
        <v>1.25</v>
      </c>
      <c r="F49" s="20" t="n">
        <v>1.25</v>
      </c>
      <c r="G49" s="20" t="n">
        <v>1.25</v>
      </c>
      <c r="H49" s="20" t="n">
        <v>1.25</v>
      </c>
      <c r="I49" s="20" t="n">
        <v>1.25</v>
      </c>
      <c r="J49" s="20" t="n">
        <v>1.25</v>
      </c>
    </row>
    <row r="50" customFormat="false" ht="15" hidden="false" customHeight="true" outlineLevel="0" collapsed="false">
      <c r="B50" s="7" t="s">
        <v>99</v>
      </c>
      <c r="C50" s="7" t="s">
        <v>50</v>
      </c>
      <c r="D50" s="17" t="n">
        <v>0.025</v>
      </c>
      <c r="E50" s="17" t="n">
        <v>0.025</v>
      </c>
      <c r="F50" s="17" t="n">
        <v>0.025</v>
      </c>
      <c r="G50" s="17" t="n">
        <v>0.025</v>
      </c>
      <c r="H50" s="17" t="n">
        <v>0.025</v>
      </c>
      <c r="I50" s="17" t="n">
        <v>0.025</v>
      </c>
      <c r="J50" s="17" t="n">
        <v>0.025</v>
      </c>
    </row>
    <row r="51" customFormat="false" ht="15" hidden="false" customHeight="true" outlineLevel="0" collapsed="false">
      <c r="B51" s="7" t="s">
        <v>100</v>
      </c>
      <c r="C51" s="7" t="s">
        <v>101</v>
      </c>
      <c r="D51" s="21" t="n">
        <v>10.66</v>
      </c>
      <c r="L51" s="16" t="s">
        <v>102</v>
      </c>
    </row>
    <row r="52" customFormat="false" ht="15" hidden="false" customHeight="true" outlineLevel="0" collapsed="false">
      <c r="B52" s="7" t="s">
        <v>103</v>
      </c>
      <c r="C52" s="7" t="s">
        <v>104</v>
      </c>
      <c r="D52" s="19" t="n">
        <v>1250</v>
      </c>
      <c r="E52" s="19" t="n">
        <v>1248</v>
      </c>
      <c r="F52" s="19" t="n">
        <v>1248</v>
      </c>
      <c r="G52" s="19" t="n">
        <v>1248</v>
      </c>
      <c r="H52" s="19" t="n">
        <v>1248</v>
      </c>
      <c r="I52" s="19" t="n">
        <v>1248</v>
      </c>
      <c r="J52" s="19" t="n">
        <v>1248</v>
      </c>
    </row>
    <row r="55" customFormat="false" ht="21.75" hidden="false" customHeight="true" outlineLevel="0" collapsed="false">
      <c r="B55" s="2" t="s">
        <v>20</v>
      </c>
      <c r="C55" s="2"/>
      <c r="D55" s="2"/>
      <c r="E55" s="2"/>
      <c r="F55" s="2"/>
      <c r="G55" s="2"/>
      <c r="H55" s="2"/>
      <c r="I55" s="2"/>
      <c r="J55" s="2"/>
    </row>
    <row r="57" customFormat="false" ht="15" hidden="false" customHeight="true" outlineLevel="0" collapsed="false">
      <c r="B57" s="12" t="s">
        <v>44</v>
      </c>
      <c r="D57" s="13" t="n">
        <f aca="false">+D$5</f>
        <v>2024</v>
      </c>
      <c r="E57" s="13" t="n">
        <f aca="false">+E$5</f>
        <v>2025</v>
      </c>
      <c r="F57" s="13" t="n">
        <f aca="false">+F$5</f>
        <v>2026</v>
      </c>
      <c r="G57" s="13" t="n">
        <f aca="false">+G$5</f>
        <v>2027</v>
      </c>
      <c r="H57" s="13" t="n">
        <f aca="false">+H$5</f>
        <v>2028</v>
      </c>
      <c r="I57" s="13" t="n">
        <f aca="false">+I$5</f>
        <v>2029</v>
      </c>
      <c r="J57" s="13" t="n">
        <f aca="false">+J$5</f>
        <v>2030</v>
      </c>
    </row>
    <row r="59" customFormat="false" ht="21.75" hidden="false" customHeight="true" outlineLevel="0" collapsed="false">
      <c r="B59" s="7" t="s">
        <v>105</v>
      </c>
      <c r="D59" s="22" t="n">
        <f aca="false">D201</f>
        <v>3108.15002164</v>
      </c>
      <c r="E59" s="22" t="n">
        <f aca="false">E201</f>
        <v>2669.65769394</v>
      </c>
      <c r="F59" s="22" t="n">
        <f aca="false">F201</f>
        <v>2824.60564985526</v>
      </c>
      <c r="G59" s="22" t="n">
        <f aca="false">G201</f>
        <v>2921.92759589002</v>
      </c>
      <c r="H59" s="22" t="n">
        <f aca="false">H201</f>
        <v>3087.69593984199</v>
      </c>
      <c r="I59" s="22" t="n">
        <f aca="false">I201</f>
        <v>3252.46045078812</v>
      </c>
      <c r="J59" s="22" t="n">
        <f aca="false">J201</f>
        <v>3417.70190139169</v>
      </c>
      <c r="L59" s="16" t="s">
        <v>106</v>
      </c>
    </row>
    <row r="60" customFormat="false" ht="15" hidden="false" customHeight="true" outlineLevel="0" collapsed="false">
      <c r="B60" s="7" t="s">
        <v>107</v>
      </c>
      <c r="D60" s="22" t="n">
        <f aca="false">D208</f>
        <v>-1019.94332436</v>
      </c>
      <c r="E60" s="22" t="n">
        <f aca="false">E208</f>
        <v>-767.05771702</v>
      </c>
      <c r="F60" s="22" t="n">
        <f aca="false">F208</f>
        <v>-707.50957739</v>
      </c>
      <c r="G60" s="22" t="n">
        <f aca="false">G208</f>
        <v>-728.021757842</v>
      </c>
      <c r="H60" s="22" t="n">
        <f aca="false">H208</f>
        <v>-777.351805870112</v>
      </c>
      <c r="I60" s="22" t="n">
        <f aca="false">I208</f>
        <v>-821.549510399313</v>
      </c>
      <c r="J60" s="22" t="n">
        <f aca="false">J208</f>
        <v>-847.088573446266</v>
      </c>
    </row>
    <row r="61" customFormat="false" ht="15" hidden="false" customHeight="true" outlineLevel="0" collapsed="false">
      <c r="B61" s="3" t="s">
        <v>108</v>
      </c>
      <c r="D61" s="23" t="n">
        <f aca="false">D59+D60</f>
        <v>2088.20669728</v>
      </c>
      <c r="E61" s="23" t="n">
        <f aca="false">E59+E60</f>
        <v>1902.59997692</v>
      </c>
      <c r="F61" s="23" t="n">
        <f aca="false">F59+F60</f>
        <v>2117.09607246526</v>
      </c>
      <c r="G61" s="23" t="n">
        <f aca="false">G59+G60</f>
        <v>2193.90583804802</v>
      </c>
      <c r="H61" s="23" t="n">
        <f aca="false">H59+H60</f>
        <v>2310.34413397188</v>
      </c>
      <c r="I61" s="23" t="n">
        <f aca="false">I59+I60</f>
        <v>2430.91094038881</v>
      </c>
      <c r="J61" s="23" t="n">
        <f aca="false">J59+J60</f>
        <v>2570.61332794543</v>
      </c>
    </row>
    <row r="62" customFormat="false" ht="15" hidden="false" customHeight="true" outlineLevel="0" collapsed="false">
      <c r="B62" s="7" t="s">
        <v>109</v>
      </c>
      <c r="D62" s="19" t="n">
        <v>561.2</v>
      </c>
      <c r="E62" s="19" t="n">
        <v>590.6</v>
      </c>
      <c r="F62" s="22" t="n">
        <f aca="false">E62*(1+F$17)</f>
        <v>673.284</v>
      </c>
      <c r="G62" s="22" t="n">
        <f aca="false">F62*(1+G$17)</f>
        <v>720.41388</v>
      </c>
      <c r="H62" s="22" t="n">
        <f aca="false">G62*(1+H$17)</f>
        <v>763.6387128</v>
      </c>
      <c r="I62" s="22" t="n">
        <f aca="false">H62*(1+I$17)</f>
        <v>805.638842004</v>
      </c>
      <c r="J62" s="22" t="n">
        <f aca="false">I62*(1+J$17)</f>
        <v>845.9207841042</v>
      </c>
    </row>
    <row r="63" customFormat="false" ht="15" hidden="false" customHeight="true" outlineLevel="0" collapsed="false">
      <c r="B63" s="7" t="s">
        <v>110</v>
      </c>
      <c r="D63" s="22" t="n">
        <f aca="false">D268</f>
        <v>0</v>
      </c>
      <c r="E63" s="22" t="n">
        <f aca="false">E268</f>
        <v>9.8</v>
      </c>
      <c r="F63" s="22" t="n">
        <f aca="false">F268</f>
        <v>134.602</v>
      </c>
      <c r="G63" s="22" t="n">
        <f aca="false">G268</f>
        <v>140.65909</v>
      </c>
      <c r="H63" s="22" t="n">
        <f aca="false">H268</f>
        <v>146.98874905</v>
      </c>
      <c r="I63" s="22" t="n">
        <f aca="false">I268</f>
        <v>152.868299012</v>
      </c>
      <c r="J63" s="22" t="n">
        <f aca="false">J268</f>
        <v>158.98303097248</v>
      </c>
    </row>
    <row r="64" customFormat="false" ht="15" hidden="false" customHeight="true" outlineLevel="0" collapsed="false">
      <c r="B64" s="7" t="s">
        <v>70</v>
      </c>
      <c r="D64" s="19" t="n">
        <v>107.2</v>
      </c>
      <c r="E64" s="19" t="n">
        <v>204</v>
      </c>
      <c r="F64" s="22" t="n">
        <f aca="false">F$25</f>
        <v>100</v>
      </c>
      <c r="G64" s="22" t="n">
        <f aca="false">G$25</f>
        <v>102</v>
      </c>
      <c r="H64" s="22" t="n">
        <f aca="false">H$25</f>
        <v>104</v>
      </c>
      <c r="I64" s="22" t="n">
        <f aca="false">I$25</f>
        <v>106</v>
      </c>
      <c r="J64" s="22" t="n">
        <f aca="false">J$25</f>
        <v>108</v>
      </c>
    </row>
    <row r="65" customFormat="false" ht="15" hidden="false" customHeight="true" outlineLevel="0" collapsed="false">
      <c r="B65" s="3" t="s">
        <v>111</v>
      </c>
      <c r="D65" s="23" t="n">
        <f aca="false">SUM(D61:D64)</f>
        <v>2756.60669728</v>
      </c>
      <c r="E65" s="23" t="n">
        <f aca="false">SUM(E61:E64)</f>
        <v>2706.99997692</v>
      </c>
      <c r="F65" s="23" t="n">
        <f aca="false">SUM(F61:F64)</f>
        <v>3024.98207246526</v>
      </c>
      <c r="G65" s="23" t="n">
        <f aca="false">SUM(G61:G64)</f>
        <v>3156.97880804802</v>
      </c>
      <c r="H65" s="23" t="n">
        <f aca="false">SUM(H61:H64)</f>
        <v>3324.97159582188</v>
      </c>
      <c r="I65" s="23" t="n">
        <f aca="false">SUM(I61:I64)</f>
        <v>3495.41808140481</v>
      </c>
      <c r="J65" s="23" t="n">
        <f aca="false">SUM(J61:J64)</f>
        <v>3683.51714302211</v>
      </c>
    </row>
    <row r="67" customFormat="false" ht="15" hidden="false" customHeight="true" outlineLevel="0" collapsed="false">
      <c r="B67" s="7" t="s">
        <v>112</v>
      </c>
      <c r="D67" s="19" t="n">
        <v>-455</v>
      </c>
      <c r="E67" s="19" t="n">
        <v>-438.3</v>
      </c>
      <c r="F67" s="22" t="n">
        <f aca="false">E67*(1+F$18)</f>
        <v>-453.6405</v>
      </c>
      <c r="G67" s="22" t="n">
        <f aca="false">F67*(1+G$18)</f>
        <v>-467.249715</v>
      </c>
      <c r="H67" s="22" t="n">
        <f aca="false">G67*(1+H$18)</f>
        <v>-480.33270702</v>
      </c>
      <c r="I67" s="22" t="n">
        <f aca="false">H67*(1+I$18)</f>
        <v>-492.3410246955</v>
      </c>
      <c r="J67" s="22" t="n">
        <f aca="false">I67*(1+J$18)</f>
        <v>-504.649550312887</v>
      </c>
    </row>
    <row r="68" customFormat="false" ht="15" hidden="false" customHeight="true" outlineLevel="0" collapsed="false">
      <c r="B68" s="7" t="s">
        <v>113</v>
      </c>
      <c r="D68" s="19" t="n">
        <v>-303.2</v>
      </c>
      <c r="E68" s="19" t="n">
        <v>-326.3</v>
      </c>
      <c r="F68" s="22" t="n">
        <f aca="false">E68*(1+F$19)</f>
        <v>-339.352</v>
      </c>
      <c r="G68" s="22" t="n">
        <f aca="false">F68*(1+G$19)</f>
        <v>-349.53256</v>
      </c>
      <c r="H68" s="22" t="n">
        <f aca="false">G68*(1+H$19)</f>
        <v>-359.31947168</v>
      </c>
      <c r="I68" s="22" t="n">
        <f aca="false">H68*(1+I$19)</f>
        <v>-368.302458472</v>
      </c>
      <c r="J68" s="22" t="n">
        <f aca="false">I68*(1+J$19)</f>
        <v>-377.5100199338</v>
      </c>
    </row>
    <row r="69" customFormat="false" ht="15" hidden="false" customHeight="true" outlineLevel="0" collapsed="false">
      <c r="B69" s="7" t="s">
        <v>114</v>
      </c>
      <c r="D69" s="19" t="n">
        <v>-118.9</v>
      </c>
      <c r="E69" s="19" t="n">
        <v>-131.2</v>
      </c>
      <c r="F69" s="22" t="n">
        <f aca="false">-F175*F$20</f>
        <v>-138.707975738363</v>
      </c>
      <c r="G69" s="22" t="n">
        <f aca="false">-G175*G$20</f>
        <v>-147.723994161357</v>
      </c>
      <c r="H69" s="22" t="n">
        <f aca="false">-H175*H$20</f>
        <v>-151.187867127899</v>
      </c>
      <c r="I69" s="22" t="n">
        <f aca="false">-I175*I$20</f>
        <v>-159.503199819933</v>
      </c>
      <c r="J69" s="22" t="n">
        <f aca="false">-J175*J$20</f>
        <v>-161.496989817682</v>
      </c>
    </row>
    <row r="70" customFormat="false" ht="15" hidden="false" customHeight="true" outlineLevel="0" collapsed="false">
      <c r="B70" s="7" t="s">
        <v>115</v>
      </c>
      <c r="D70" s="22" t="n">
        <f aca="false">D270</f>
        <v>0</v>
      </c>
      <c r="E70" s="22" t="n">
        <f aca="false">E270</f>
        <v>-6.8</v>
      </c>
      <c r="F70" s="22" t="n">
        <f aca="false">F270</f>
        <v>-44.41866</v>
      </c>
      <c r="G70" s="22" t="n">
        <f aca="false">G270</f>
        <v>-46.4174997</v>
      </c>
      <c r="H70" s="22" t="n">
        <f aca="false">H270</f>
        <v>-48.5062871865</v>
      </c>
      <c r="I70" s="22" t="n">
        <f aca="false">I270</f>
        <v>-50.44653867396</v>
      </c>
      <c r="J70" s="22" t="n">
        <f aca="false">J270</f>
        <v>-52.4644002209184</v>
      </c>
    </row>
    <row r="71" customFormat="false" ht="15" hidden="false" customHeight="true" outlineLevel="0" collapsed="false">
      <c r="B71" s="3" t="s">
        <v>116</v>
      </c>
      <c r="D71" s="23" t="n">
        <f aca="false">SUM(D67:D70)</f>
        <v>-877.1</v>
      </c>
      <c r="E71" s="23" t="n">
        <f aca="false">SUM(E67:E70)</f>
        <v>-902.6</v>
      </c>
      <c r="F71" s="23" t="n">
        <f aca="false">SUM(F67:F70)</f>
        <v>-976.119135738363</v>
      </c>
      <c r="G71" s="23" t="n">
        <f aca="false">SUM(G67:G70)</f>
        <v>-1010.92376886136</v>
      </c>
      <c r="H71" s="23" t="n">
        <f aca="false">SUM(H67:H70)</f>
        <v>-1039.3463330144</v>
      </c>
      <c r="I71" s="23" t="n">
        <f aca="false">SUM(I67:I70)</f>
        <v>-1070.59322166139</v>
      </c>
      <c r="J71" s="23" t="n">
        <f aca="false">SUM(J67:J70)</f>
        <v>-1096.12096028529</v>
      </c>
    </row>
    <row r="73" customFormat="false" ht="15" hidden="false" customHeight="true" outlineLevel="0" collapsed="false">
      <c r="B73" s="3" t="s">
        <v>117</v>
      </c>
      <c r="D73" s="24" t="n">
        <f aca="false">D65+D71</f>
        <v>1879.50669728</v>
      </c>
      <c r="E73" s="24" t="n">
        <f aca="false">E65+E71</f>
        <v>1804.39997692</v>
      </c>
      <c r="F73" s="24" t="n">
        <f aca="false">F65+F71</f>
        <v>2048.8629367269</v>
      </c>
      <c r="G73" s="24" t="n">
        <f aca="false">G65+G71</f>
        <v>2146.05503918667</v>
      </c>
      <c r="H73" s="24" t="n">
        <f aca="false">H65+H71</f>
        <v>2285.62526280748</v>
      </c>
      <c r="I73" s="24" t="n">
        <f aca="false">I65+I71</f>
        <v>2424.82485974342</v>
      </c>
      <c r="J73" s="24" t="n">
        <f aca="false">J65+J71</f>
        <v>2587.39618273682</v>
      </c>
    </row>
    <row r="75" customFormat="false" ht="15" hidden="false" customHeight="true" outlineLevel="0" collapsed="false">
      <c r="B75" s="7" t="s">
        <v>118</v>
      </c>
      <c r="D75" s="22" t="n">
        <f aca="false">-D221</f>
        <v>-280.6</v>
      </c>
      <c r="E75" s="22" t="n">
        <f aca="false">-E221</f>
        <v>-288.8</v>
      </c>
      <c r="F75" s="22" t="n">
        <f aca="false">-F221</f>
        <v>-221.576814491435</v>
      </c>
      <c r="G75" s="22" t="n">
        <f aca="false">-G221</f>
        <v>-256.801076461818</v>
      </c>
      <c r="H75" s="22" t="n">
        <f aca="false">-H221</f>
        <v>-288.57118169796</v>
      </c>
      <c r="I75" s="22" t="n">
        <f aca="false">-I221</f>
        <v>-316.239121714758</v>
      </c>
      <c r="J75" s="22" t="n">
        <f aca="false">-J221</f>
        <v>-338.659472474823</v>
      </c>
    </row>
    <row r="76" customFormat="false" ht="15" hidden="false" customHeight="true" outlineLevel="0" collapsed="false">
      <c r="B76" s="7" t="s">
        <v>66</v>
      </c>
      <c r="D76" s="19" t="n">
        <v>-172.7</v>
      </c>
      <c r="E76" s="19" t="n">
        <v>-137.5</v>
      </c>
      <c r="F76" s="22" t="n">
        <f aca="false">-F$22</f>
        <v>-70</v>
      </c>
      <c r="G76" s="22" t="n">
        <f aca="false">-G$22</f>
        <v>-75</v>
      </c>
      <c r="H76" s="22" t="n">
        <f aca="false">-H$22</f>
        <v>-75</v>
      </c>
      <c r="I76" s="22" t="n">
        <f aca="false">-I$22</f>
        <v>-75</v>
      </c>
      <c r="J76" s="22" t="n">
        <f aca="false">-J$22</f>
        <v>-75</v>
      </c>
    </row>
    <row r="77" customFormat="false" ht="21.75" hidden="false" customHeight="true" outlineLevel="0" collapsed="false">
      <c r="B77" s="7" t="s">
        <v>119</v>
      </c>
      <c r="D77" s="19" t="n">
        <v>9.7</v>
      </c>
      <c r="E77" s="19" t="n">
        <v>0.1</v>
      </c>
      <c r="F77" s="19" t="n">
        <v>0</v>
      </c>
      <c r="G77" s="19" t="n">
        <v>0</v>
      </c>
      <c r="H77" s="19" t="n">
        <v>0</v>
      </c>
      <c r="I77" s="19" t="n">
        <v>0</v>
      </c>
      <c r="J77" s="19" t="n">
        <v>0</v>
      </c>
      <c r="L77" s="16" t="s">
        <v>120</v>
      </c>
    </row>
    <row r="78" customFormat="false" ht="15" hidden="false" customHeight="true" outlineLevel="0" collapsed="false">
      <c r="B78" s="3" t="s">
        <v>121</v>
      </c>
      <c r="D78" s="23" t="n">
        <f aca="false">D73+D75+D76+D77</f>
        <v>1435.90669728</v>
      </c>
      <c r="E78" s="23" t="n">
        <f aca="false">E73+E75+E76+E77</f>
        <v>1378.19997692</v>
      </c>
      <c r="F78" s="23" t="n">
        <f aca="false">F73+F75+F76+F77</f>
        <v>1757.28612223546</v>
      </c>
      <c r="G78" s="23" t="n">
        <f aca="false">G73+G75+G76+G77</f>
        <v>1814.25396272485</v>
      </c>
      <c r="H78" s="23" t="n">
        <f aca="false">H73+H75+H76+H77</f>
        <v>1922.05408110952</v>
      </c>
      <c r="I78" s="23" t="n">
        <f aca="false">I73+I75+I76+I77</f>
        <v>2033.58573802866</v>
      </c>
      <c r="J78" s="23" t="n">
        <f aca="false">J73+J75+J76+J77</f>
        <v>2173.736710262</v>
      </c>
    </row>
    <row r="79" customFormat="false" ht="15" hidden="false" customHeight="true" outlineLevel="0" collapsed="false">
      <c r="B79" s="7" t="s">
        <v>122</v>
      </c>
      <c r="D79" s="19" t="n">
        <v>-370.2</v>
      </c>
      <c r="E79" s="19" t="n">
        <v>-316.2</v>
      </c>
      <c r="F79" s="22" t="n">
        <f aca="false">-F78*F$23</f>
        <v>-439.321530558865</v>
      </c>
      <c r="G79" s="22" t="n">
        <f aca="false">-G78*G$23</f>
        <v>-453.563490681212</v>
      </c>
      <c r="H79" s="22" t="n">
        <f aca="false">-H78*H$23</f>
        <v>-480.51352027738</v>
      </c>
      <c r="I79" s="22" t="n">
        <f aca="false">-I78*I$23</f>
        <v>-508.396434507164</v>
      </c>
      <c r="J79" s="22" t="n">
        <f aca="false">-J78*J$23</f>
        <v>-543.434177565499</v>
      </c>
    </row>
    <row r="80" customFormat="false" ht="15" hidden="false" customHeight="true" outlineLevel="0" collapsed="false">
      <c r="B80" s="3" t="s">
        <v>123</v>
      </c>
      <c r="D80" s="23" t="n">
        <f aca="false">D78+D79</f>
        <v>1065.70669728</v>
      </c>
      <c r="E80" s="23" t="n">
        <f aca="false">E78+E79</f>
        <v>1061.99997692</v>
      </c>
      <c r="F80" s="23" t="n">
        <f aca="false">F78+F79</f>
        <v>1317.9645916766</v>
      </c>
      <c r="G80" s="23" t="n">
        <f aca="false">G78+G79</f>
        <v>1360.69047204364</v>
      </c>
      <c r="H80" s="23" t="n">
        <f aca="false">H78+H79</f>
        <v>1441.54056083214</v>
      </c>
      <c r="I80" s="23" t="n">
        <f aca="false">I78+I79</f>
        <v>1525.18930352149</v>
      </c>
      <c r="J80" s="23" t="n">
        <f aca="false">J78+J79</f>
        <v>1630.3025326965</v>
      </c>
    </row>
    <row r="81" customFormat="false" ht="15" hidden="false" customHeight="true" outlineLevel="0" collapsed="false">
      <c r="B81" s="7" t="s">
        <v>69</v>
      </c>
      <c r="D81" s="19" t="n">
        <v>0.2</v>
      </c>
      <c r="E81" s="19" t="n">
        <v>8.1</v>
      </c>
      <c r="F81" s="22" t="n">
        <f aca="false">-F$24</f>
        <v>-6</v>
      </c>
      <c r="G81" s="22" t="n">
        <f aca="false">-G$24</f>
        <v>-8</v>
      </c>
      <c r="H81" s="22" t="n">
        <f aca="false">-H$24</f>
        <v>-9</v>
      </c>
      <c r="I81" s="22" t="n">
        <f aca="false">-I$24</f>
        <v>-10</v>
      </c>
      <c r="J81" s="22" t="n">
        <f aca="false">-J$24</f>
        <v>-10</v>
      </c>
    </row>
    <row r="82" customFormat="false" ht="15" hidden="false" customHeight="true" outlineLevel="0" collapsed="false">
      <c r="B82" s="3" t="s">
        <v>124</v>
      </c>
      <c r="D82" s="24" t="n">
        <f aca="false">D80+D81</f>
        <v>1065.90669728</v>
      </c>
      <c r="E82" s="24" t="n">
        <f aca="false">E80+E81</f>
        <v>1070.09997692</v>
      </c>
      <c r="F82" s="24" t="n">
        <f aca="false">F80+F81</f>
        <v>1311.9645916766</v>
      </c>
      <c r="G82" s="24" t="n">
        <f aca="false">G80+G81</f>
        <v>1352.69047204364</v>
      </c>
      <c r="H82" s="24" t="n">
        <f aca="false">H80+H81</f>
        <v>1432.54056083214</v>
      </c>
      <c r="I82" s="24" t="n">
        <f aca="false">I80+I81</f>
        <v>1515.18930352149</v>
      </c>
      <c r="J82" s="24" t="n">
        <f aca="false">J80+J81</f>
        <v>1620.3025326965</v>
      </c>
    </row>
    <row r="83" customFormat="false" ht="15" hidden="false" customHeight="true" outlineLevel="0" collapsed="false">
      <c r="B83" s="7" t="s">
        <v>89</v>
      </c>
      <c r="D83" s="19" t="n">
        <v>-53</v>
      </c>
      <c r="E83" s="19" t="n">
        <v>-71</v>
      </c>
      <c r="F83" s="22" t="n">
        <f aca="false">-F$40</f>
        <v>-85</v>
      </c>
      <c r="G83" s="22" t="n">
        <f aca="false">-G$40</f>
        <v>-85</v>
      </c>
      <c r="H83" s="22" t="n">
        <f aca="false">-H$40</f>
        <v>-85</v>
      </c>
      <c r="I83" s="22" t="n">
        <f aca="false">-I$40</f>
        <v>-85</v>
      </c>
      <c r="J83" s="22" t="n">
        <f aca="false">-J$40</f>
        <v>-85</v>
      </c>
    </row>
    <row r="84" customFormat="false" ht="15" hidden="false" customHeight="true" outlineLevel="0" collapsed="false">
      <c r="B84" s="3" t="s">
        <v>125</v>
      </c>
      <c r="D84" s="24" t="n">
        <f aca="false">D82+D83</f>
        <v>1012.90669728</v>
      </c>
      <c r="E84" s="24" t="n">
        <f aca="false">E82+E83</f>
        <v>999.09997692</v>
      </c>
      <c r="F84" s="24" t="n">
        <f aca="false">F82+F83</f>
        <v>1226.9645916766</v>
      </c>
      <c r="G84" s="24" t="n">
        <f aca="false">G82+G83</f>
        <v>1267.69047204364</v>
      </c>
      <c r="H84" s="24" t="n">
        <f aca="false">H82+H83</f>
        <v>1347.54056083214</v>
      </c>
      <c r="I84" s="24" t="n">
        <f aca="false">I82+I83</f>
        <v>1430.18930352149</v>
      </c>
      <c r="J84" s="24" t="n">
        <f aca="false">J82+J83</f>
        <v>1535.3025326965</v>
      </c>
    </row>
    <row r="86" customFormat="false" ht="15" hidden="false" customHeight="true" outlineLevel="0" collapsed="false">
      <c r="B86" s="3" t="s">
        <v>126</v>
      </c>
    </row>
    <row r="87" customFormat="false" ht="15" hidden="false" customHeight="true" outlineLevel="0" collapsed="false">
      <c r="B87" s="7" t="s">
        <v>127</v>
      </c>
      <c r="C87" s="7" t="s">
        <v>50</v>
      </c>
      <c r="D87" s="25" t="n">
        <f aca="false">D212</f>
        <v>0.0385511345109713</v>
      </c>
      <c r="E87" s="25" t="n">
        <f aca="false">E212</f>
        <v>0.0314157475263312</v>
      </c>
      <c r="F87" s="25" t="n">
        <f aca="false">F212</f>
        <v>0.0325259215432863</v>
      </c>
      <c r="G87" s="25" t="n">
        <f aca="false">G212</f>
        <v>0.0315097811013192</v>
      </c>
      <c r="H87" s="25" t="n">
        <f aca="false">H212</f>
        <v>0.0314752354266246</v>
      </c>
      <c r="I87" s="25" t="n">
        <f aca="false">I212</f>
        <v>0.0315610041744808</v>
      </c>
      <c r="J87" s="25" t="n">
        <f aca="false">J212</f>
        <v>0.0319112643964059</v>
      </c>
    </row>
    <row r="88" customFormat="false" ht="21.75" hidden="false" customHeight="true" outlineLevel="0" collapsed="false">
      <c r="B88" s="7" t="s">
        <v>128</v>
      </c>
      <c r="C88" s="7" t="s">
        <v>50</v>
      </c>
      <c r="D88" s="25" t="n">
        <f aca="false">D61/80044</f>
        <v>0.0260882351866473</v>
      </c>
      <c r="E88" s="25" t="n">
        <f aca="false">E61/90893</f>
        <v>0.0209323047640632</v>
      </c>
      <c r="F88" s="25" t="n">
        <f aca="false">F61/AVERAGE(E110,F110)</f>
        <v>0.0228354233838794</v>
      </c>
      <c r="G88" s="25" t="n">
        <f aca="false">G61/AVERAGE(F110,G110)</f>
        <v>0.02277229464952</v>
      </c>
      <c r="H88" s="25" t="n">
        <f aca="false">H61/AVERAGE(G110,H110)</f>
        <v>0.0231472887601982</v>
      </c>
      <c r="I88" s="25" t="n">
        <f aca="false">I61/AVERAGE(H110,I110)</f>
        <v>0.0235749854250256</v>
      </c>
      <c r="J88" s="25" t="n">
        <f aca="false">J61/AVERAGE(I110,J110)</f>
        <v>0.0241939792006529</v>
      </c>
      <c r="L88" s="16" t="s">
        <v>129</v>
      </c>
    </row>
    <row r="89" customFormat="false" ht="15" hidden="false" customHeight="true" outlineLevel="0" collapsed="false">
      <c r="B89" s="7" t="s">
        <v>130</v>
      </c>
      <c r="C89" s="7" t="s">
        <v>50</v>
      </c>
      <c r="D89" s="26" t="n">
        <f aca="false">-D71/D65</f>
        <v>0.318181045147083</v>
      </c>
      <c r="E89" s="26" t="n">
        <f aca="false">-E71/E65</f>
        <v>0.333431846211898</v>
      </c>
      <c r="F89" s="26" t="n">
        <f aca="false">-F71/F65</f>
        <v>0.322685924198836</v>
      </c>
      <c r="G89" s="26" t="n">
        <f aca="false">-G71/G65</f>
        <v>0.320218737700813</v>
      </c>
      <c r="H89" s="26" t="n">
        <f aca="false">-H71/H65</f>
        <v>0.312588033630251</v>
      </c>
      <c r="I89" s="26" t="n">
        <f aca="false">-I71/I65</f>
        <v>0.306284740974711</v>
      </c>
      <c r="J89" s="26" t="n">
        <f aca="false">-J71/J65</f>
        <v>0.297574551094932</v>
      </c>
    </row>
    <row r="90" customFormat="false" ht="15" hidden="false" customHeight="true" outlineLevel="0" collapsed="false">
      <c r="B90" s="7" t="s">
        <v>64</v>
      </c>
      <c r="C90" s="7" t="s">
        <v>65</v>
      </c>
      <c r="D90" s="27" t="n">
        <f aca="false">D226</f>
        <v>71.921874131024</v>
      </c>
      <c r="E90" s="27" t="n">
        <f aca="false">E226</f>
        <v>66.9680446896872</v>
      </c>
      <c r="F90" s="27" t="n">
        <f aca="false">F226</f>
        <v>48</v>
      </c>
      <c r="G90" s="27" t="n">
        <f aca="false">G226</f>
        <v>52</v>
      </c>
      <c r="H90" s="27" t="n">
        <f aca="false">H226</f>
        <v>55</v>
      </c>
      <c r="I90" s="27" t="n">
        <f aca="false">I226</f>
        <v>57</v>
      </c>
      <c r="J90" s="27" t="n">
        <f aca="false">J226</f>
        <v>58</v>
      </c>
    </row>
    <row r="91" customFormat="false" ht="15" hidden="false" customHeight="true" outlineLevel="0" collapsed="false">
      <c r="B91" s="7" t="s">
        <v>131</v>
      </c>
      <c r="C91" s="7" t="s">
        <v>50</v>
      </c>
      <c r="D91" s="26" t="n">
        <f aca="false">(D62+D63)/D65</f>
        <v>0.203583630756519</v>
      </c>
      <c r="E91" s="26" t="n">
        <f aca="false">(E62+E63)/E65</f>
        <v>0.221795347291849</v>
      </c>
      <c r="F91" s="26" t="n">
        <f aca="false">(F62+F63)/F65</f>
        <v>0.267071334853102</v>
      </c>
      <c r="G91" s="26" t="n">
        <f aca="false">(G62+G63)/G65</f>
        <v>0.272752217343013</v>
      </c>
      <c r="H91" s="26" t="n">
        <f aca="false">(H62+H63)/H65</f>
        <v>0.273875260466671</v>
      </c>
      <c r="I91" s="26" t="n">
        <f aca="false">(I62+I63)/I65</f>
        <v>0.274218167524835</v>
      </c>
      <c r="J91" s="26" t="n">
        <f aca="false">(J62+J63)/J65</f>
        <v>0.272810951071675</v>
      </c>
    </row>
    <row r="92" customFormat="false" ht="15" hidden="false" customHeight="true" outlineLevel="0" collapsed="false">
      <c r="B92" s="3" t="s">
        <v>132</v>
      </c>
      <c r="C92" s="7" t="s">
        <v>101</v>
      </c>
      <c r="D92" s="28" t="n">
        <f aca="false">D84/D$52</f>
        <v>0.810325357824</v>
      </c>
      <c r="E92" s="28" t="n">
        <f aca="false">E84/E$52</f>
        <v>0.800560878942308</v>
      </c>
      <c r="F92" s="28" t="n">
        <f aca="false">F84/F$52</f>
        <v>0.983144704869067</v>
      </c>
      <c r="G92" s="28" t="n">
        <f aca="false">G84/G$52</f>
        <v>1.01577762182984</v>
      </c>
      <c r="H92" s="28" t="n">
        <f aca="false">H84/H$52</f>
        <v>1.07976006476934</v>
      </c>
      <c r="I92" s="28" t="n">
        <f aca="false">I84/I$52</f>
        <v>1.14598501884735</v>
      </c>
      <c r="J92" s="28" t="n">
        <f aca="false">J84/J$52</f>
        <v>1.23021036273758</v>
      </c>
    </row>
    <row r="95" customFormat="false" ht="21.75" hidden="false" customHeight="true" outlineLevel="0" collapsed="false">
      <c r="B95" s="2" t="s">
        <v>22</v>
      </c>
      <c r="C95" s="2"/>
      <c r="D95" s="2"/>
      <c r="E95" s="2"/>
      <c r="F95" s="2"/>
      <c r="G95" s="2"/>
      <c r="H95" s="2"/>
      <c r="I95" s="2"/>
      <c r="J95" s="2"/>
    </row>
    <row r="97" customFormat="false" ht="15" hidden="false" customHeight="true" outlineLevel="0" collapsed="false">
      <c r="B97" s="12" t="s">
        <v>44</v>
      </c>
      <c r="D97" s="13" t="n">
        <f aca="false">+D$5</f>
        <v>2024</v>
      </c>
      <c r="E97" s="13" t="n">
        <f aca="false">+E$5</f>
        <v>2025</v>
      </c>
      <c r="F97" s="13" t="n">
        <f aca="false">+F$5</f>
        <v>2026</v>
      </c>
      <c r="G97" s="13" t="n">
        <f aca="false">+G$5</f>
        <v>2027</v>
      </c>
      <c r="H97" s="13" t="n">
        <f aca="false">+H$5</f>
        <v>2028</v>
      </c>
      <c r="I97" s="13" t="n">
        <f aca="false">+I$5</f>
        <v>2029</v>
      </c>
      <c r="J97" s="13" t="n">
        <f aca="false">+J$5</f>
        <v>2030</v>
      </c>
    </row>
    <row r="99" customFormat="false" ht="15" hidden="false" customHeight="true" outlineLevel="0" collapsed="false">
      <c r="B99" s="3" t="s">
        <v>133</v>
      </c>
    </row>
    <row r="100" customFormat="false" ht="15" hidden="false" customHeight="true" outlineLevel="0" collapsed="false">
      <c r="B100" s="7" t="s">
        <v>134</v>
      </c>
      <c r="D100" s="18" t="n">
        <v>7423</v>
      </c>
      <c r="E100" s="18" t="n">
        <v>7497</v>
      </c>
      <c r="F100" s="27" t="n">
        <f aca="false">F130-SUM(F101:F109)</f>
        <v>6172.86111082853</v>
      </c>
      <c r="G100" s="27" t="n">
        <f aca="false">G130-SUM(G101:G109)</f>
        <v>6128.45518019772</v>
      </c>
      <c r="H100" s="27" t="n">
        <f aca="false">H130-SUM(H101:H109)</f>
        <v>6009.47377628081</v>
      </c>
      <c r="I100" s="27" t="n">
        <f aca="false">I130-SUM(I101:I109)</f>
        <v>5946.44389467618</v>
      </c>
      <c r="J100" s="27" t="n">
        <f aca="false">J130-SUM(J101:J109)</f>
        <v>5671.15494256973</v>
      </c>
      <c r="L100" s="16" t="s">
        <v>135</v>
      </c>
    </row>
    <row r="101" customFormat="false" ht="15" hidden="false" customHeight="true" outlineLevel="0" collapsed="false">
      <c r="B101" s="7" t="s">
        <v>136</v>
      </c>
      <c r="D101" s="18" t="n">
        <v>2352</v>
      </c>
      <c r="E101" s="18" t="n">
        <v>3924</v>
      </c>
      <c r="F101" s="27" t="n">
        <f aca="false">E101</f>
        <v>3924</v>
      </c>
      <c r="G101" s="27" t="n">
        <f aca="false">F101</f>
        <v>3924</v>
      </c>
      <c r="H101" s="27" t="n">
        <f aca="false">G101</f>
        <v>3924</v>
      </c>
      <c r="I101" s="27" t="n">
        <f aca="false">H101</f>
        <v>3924</v>
      </c>
      <c r="J101" s="27" t="n">
        <f aca="false">I101</f>
        <v>3924</v>
      </c>
    </row>
    <row r="102" customFormat="false" ht="21.75" hidden="false" customHeight="true" outlineLevel="0" collapsed="false">
      <c r="B102" s="7" t="s">
        <v>137</v>
      </c>
      <c r="D102" s="27" t="n">
        <f aca="false">D177</f>
        <v>40734.40616179</v>
      </c>
      <c r="E102" s="27" t="n">
        <f aca="false">E177</f>
        <v>43756.33624326</v>
      </c>
      <c r="F102" s="27" t="n">
        <f aca="false">F177</f>
        <v>47060.0999393308</v>
      </c>
      <c r="G102" s="27" t="n">
        <f aca="false">G177</f>
        <v>50130.5516478593</v>
      </c>
      <c r="H102" s="27" t="n">
        <f aca="false">H177</f>
        <v>53143.6244704947</v>
      </c>
      <c r="I102" s="27" t="n">
        <f aca="false">I177</f>
        <v>56065.9502779641</v>
      </c>
      <c r="J102" s="27" t="n">
        <f aca="false">J177</f>
        <v>58863.4227824488</v>
      </c>
      <c r="L102" s="16" t="s">
        <v>138</v>
      </c>
    </row>
    <row r="103" customFormat="false" ht="15" hidden="false" customHeight="true" outlineLevel="0" collapsed="false">
      <c r="B103" s="7" t="s">
        <v>139</v>
      </c>
      <c r="D103" s="27" t="n">
        <f aca="false">D178</f>
        <v>16836.535</v>
      </c>
      <c r="E103" s="27" t="n">
        <f aca="false">E178</f>
        <v>18744.081</v>
      </c>
      <c r="F103" s="27" t="n">
        <f aca="false">F178</f>
        <v>20618.4891</v>
      </c>
      <c r="G103" s="27" t="n">
        <f aca="false">G178</f>
        <v>21443.228664</v>
      </c>
      <c r="H103" s="27" t="n">
        <f aca="false">H178</f>
        <v>22086.52552392</v>
      </c>
      <c r="I103" s="27" t="n">
        <f aca="false">I178</f>
        <v>22749.1212896376</v>
      </c>
      <c r="J103" s="27" t="n">
        <f aca="false">J178</f>
        <v>23431.5949283267</v>
      </c>
    </row>
    <row r="104" customFormat="false" ht="15" hidden="false" customHeight="true" outlineLevel="0" collapsed="false">
      <c r="B104" s="7" t="s">
        <v>140</v>
      </c>
      <c r="D104" s="18" t="n">
        <v>0</v>
      </c>
      <c r="E104" s="18" t="n">
        <v>3470</v>
      </c>
      <c r="F104" s="27" t="n">
        <f aca="false">E104*1.01</f>
        <v>3504.7</v>
      </c>
      <c r="G104" s="27" t="n">
        <f aca="false">F104*1.01</f>
        <v>3539.747</v>
      </c>
      <c r="H104" s="27" t="n">
        <f aca="false">G104*1.01</f>
        <v>3575.14447</v>
      </c>
      <c r="I104" s="27" t="n">
        <f aca="false">H104*1.01</f>
        <v>3610.8959147</v>
      </c>
      <c r="J104" s="27" t="n">
        <f aca="false">I104*1.01</f>
        <v>3647.004873847</v>
      </c>
    </row>
    <row r="105" customFormat="false" ht="15" hidden="false" customHeight="true" outlineLevel="0" collapsed="false">
      <c r="B105" s="7" t="s">
        <v>141</v>
      </c>
      <c r="D105" s="18" t="n">
        <v>1295</v>
      </c>
      <c r="E105" s="18" t="n">
        <v>1352</v>
      </c>
      <c r="F105" s="27" t="n">
        <f aca="false">E105</f>
        <v>1352</v>
      </c>
      <c r="G105" s="27" t="n">
        <f aca="false">F105</f>
        <v>1352</v>
      </c>
      <c r="H105" s="27" t="n">
        <f aca="false">G105</f>
        <v>1352</v>
      </c>
      <c r="I105" s="27" t="n">
        <f aca="false">H105</f>
        <v>1352</v>
      </c>
      <c r="J105" s="27" t="n">
        <f aca="false">I105</f>
        <v>1352</v>
      </c>
    </row>
    <row r="106" customFormat="false" ht="15" hidden="false" customHeight="true" outlineLevel="0" collapsed="false">
      <c r="B106" s="7" t="s">
        <v>142</v>
      </c>
      <c r="D106" s="18" t="n">
        <v>416</v>
      </c>
      <c r="E106" s="18" t="n">
        <v>818</v>
      </c>
      <c r="F106" s="27" t="n">
        <f aca="false">E106+F$33*0.35</f>
        <v>895</v>
      </c>
      <c r="G106" s="27" t="n">
        <f aca="false">F106+G$33*0.35</f>
        <v>972</v>
      </c>
      <c r="H106" s="27" t="n">
        <f aca="false">G106+H$33*0.35</f>
        <v>1050.75</v>
      </c>
      <c r="I106" s="27" t="n">
        <f aca="false">H106+I$33*0.35</f>
        <v>1129.5</v>
      </c>
      <c r="J106" s="27" t="n">
        <f aca="false">I106+J$33*0.35</f>
        <v>1210</v>
      </c>
    </row>
    <row r="107" customFormat="false" ht="15" hidden="false" customHeight="true" outlineLevel="0" collapsed="false">
      <c r="B107" s="7" t="s">
        <v>143</v>
      </c>
      <c r="D107" s="18" t="n">
        <v>2545</v>
      </c>
      <c r="E107" s="18" t="n">
        <v>2813</v>
      </c>
      <c r="F107" s="27" t="n">
        <f aca="false">E107+F$33*0.65+F69</f>
        <v>2817.29202426164</v>
      </c>
      <c r="G107" s="27" t="n">
        <f aca="false">F107+G$33*0.65+G69</f>
        <v>2812.56803010028</v>
      </c>
      <c r="H107" s="27" t="n">
        <f aca="false">G107+H$33*0.65+H69</f>
        <v>2807.63016297238</v>
      </c>
      <c r="I107" s="27" t="n">
        <f aca="false">H107+I$33*0.65+I69</f>
        <v>2794.37696315245</v>
      </c>
      <c r="J107" s="27" t="n">
        <f aca="false">I107+J$33*0.65+J69</f>
        <v>2782.37997333477</v>
      </c>
    </row>
    <row r="108" customFormat="false" ht="15" hidden="false" customHeight="true" outlineLevel="0" collapsed="false">
      <c r="B108" s="7" t="s">
        <v>144</v>
      </c>
      <c r="D108" s="18" t="n">
        <v>5363</v>
      </c>
      <c r="E108" s="18" t="n">
        <v>5257</v>
      </c>
      <c r="F108" s="27" t="n">
        <f aca="false">E108-F$32</f>
        <v>4857</v>
      </c>
      <c r="G108" s="27" t="n">
        <f aca="false">F108-G$32</f>
        <v>4457</v>
      </c>
      <c r="H108" s="27" t="n">
        <f aca="false">G108-H$32</f>
        <v>4057</v>
      </c>
      <c r="I108" s="27" t="n">
        <f aca="false">H108-I$32</f>
        <v>3657</v>
      </c>
      <c r="J108" s="27" t="n">
        <f aca="false">I108-J$32</f>
        <v>3257</v>
      </c>
    </row>
    <row r="109" customFormat="false" ht="15" hidden="false" customHeight="true" outlineLevel="0" collapsed="false">
      <c r="B109" s="7" t="s">
        <v>145</v>
      </c>
      <c r="D109" s="18" t="n">
        <v>3079</v>
      </c>
      <c r="E109" s="18" t="n">
        <v>3262</v>
      </c>
      <c r="F109" s="27" t="n">
        <f aca="false">E109*1.02</f>
        <v>3327.24</v>
      </c>
      <c r="G109" s="27" t="n">
        <f aca="false">F109*1.02</f>
        <v>3393.7848</v>
      </c>
      <c r="H109" s="27" t="n">
        <f aca="false">G109*1.02</f>
        <v>3461.660496</v>
      </c>
      <c r="I109" s="27" t="n">
        <f aca="false">H109*1.02</f>
        <v>3530.89370592</v>
      </c>
      <c r="J109" s="27" t="n">
        <f aca="false">I109*1.02</f>
        <v>3601.5115800384</v>
      </c>
    </row>
    <row r="110" customFormat="false" ht="15" hidden="false" customHeight="true" outlineLevel="0" collapsed="false">
      <c r="B110" s="3" t="s">
        <v>146</v>
      </c>
      <c r="D110" s="29" t="n">
        <f aca="false">SUM(D100:D109)</f>
        <v>80043.94116179</v>
      </c>
      <c r="E110" s="29" t="n">
        <f aca="false">SUM(E100:E109)</f>
        <v>90893.41724326</v>
      </c>
      <c r="F110" s="29" t="n">
        <f aca="false">SUM(F100:F109)</f>
        <v>94528.6821744209</v>
      </c>
      <c r="G110" s="29" t="n">
        <f aca="false">SUM(G100:G109)</f>
        <v>98153.3353221573</v>
      </c>
      <c r="H110" s="29" t="n">
        <f aca="false">SUM(H100:H109)</f>
        <v>101467.808899668</v>
      </c>
      <c r="I110" s="29" t="n">
        <f aca="false">SUM(I100:I109)</f>
        <v>104760.18204605</v>
      </c>
      <c r="J110" s="29" t="n">
        <f aca="false">SUM(J100:J109)</f>
        <v>107740.069080565</v>
      </c>
    </row>
    <row r="112" customFormat="false" ht="15" hidden="false" customHeight="true" outlineLevel="0" collapsed="false">
      <c r="B112" s="3" t="s">
        <v>147</v>
      </c>
    </row>
    <row r="113" customFormat="false" ht="15" hidden="false" customHeight="true" outlineLevel="0" collapsed="false">
      <c r="B113" s="7" t="s">
        <v>148</v>
      </c>
      <c r="D113" s="27" t="n">
        <f aca="false">D181</f>
        <v>2377.613</v>
      </c>
      <c r="E113" s="27" t="n">
        <f aca="false">E181</f>
        <v>3628.606</v>
      </c>
      <c r="F113" s="27" t="n">
        <f aca="false">F181</f>
        <v>3628.606</v>
      </c>
      <c r="G113" s="27" t="n">
        <f aca="false">G181</f>
        <v>3628.606</v>
      </c>
      <c r="H113" s="27" t="n">
        <f aca="false">H181</f>
        <v>3628.606</v>
      </c>
      <c r="I113" s="27" t="n">
        <f aca="false">I181</f>
        <v>3628.606</v>
      </c>
      <c r="J113" s="27" t="n">
        <f aca="false">J181</f>
        <v>3628.606</v>
      </c>
    </row>
    <row r="114" customFormat="false" ht="15" hidden="false" customHeight="true" outlineLevel="0" collapsed="false">
      <c r="B114" s="7" t="s">
        <v>149</v>
      </c>
      <c r="D114" s="27" t="n">
        <f aca="false">D179</f>
        <v>62852.861</v>
      </c>
      <c r="E114" s="27" t="n">
        <f aca="false">E179</f>
        <v>66544.068</v>
      </c>
      <c r="F114" s="27" t="n">
        <f aca="false">F179</f>
        <v>69871.2714</v>
      </c>
      <c r="G114" s="27" t="n">
        <f aca="false">G179</f>
        <v>72666.122256</v>
      </c>
      <c r="H114" s="27" t="n">
        <f aca="false">H179</f>
        <v>75209.43653496</v>
      </c>
      <c r="I114" s="27" t="n">
        <f aca="false">I179</f>
        <v>77841.7668136836</v>
      </c>
      <c r="J114" s="27" t="n">
        <f aca="false">J179</f>
        <v>80177.0198180941</v>
      </c>
      <c r="L114" s="16" t="s">
        <v>150</v>
      </c>
    </row>
    <row r="115" customFormat="false" ht="15" hidden="false" customHeight="true" outlineLevel="0" collapsed="false">
      <c r="B115" s="7" t="s">
        <v>151</v>
      </c>
      <c r="D115" s="27" t="n">
        <f aca="false">D180</f>
        <v>4518.19</v>
      </c>
      <c r="E115" s="27" t="n">
        <f aca="false">E180</f>
        <v>5700.426</v>
      </c>
      <c r="F115" s="27" t="n">
        <f aca="false">F180</f>
        <v>5600</v>
      </c>
      <c r="G115" s="27" t="n">
        <f aca="false">G180</f>
        <v>5800</v>
      </c>
      <c r="H115" s="27" t="n">
        <f aca="false">H180</f>
        <v>6000</v>
      </c>
      <c r="I115" s="27" t="n">
        <f aca="false">I180</f>
        <v>6100</v>
      </c>
      <c r="J115" s="27" t="n">
        <f aca="false">J180</f>
        <v>6200</v>
      </c>
    </row>
    <row r="116" customFormat="false" ht="15" hidden="false" customHeight="true" outlineLevel="0" collapsed="false">
      <c r="B116" s="7" t="s">
        <v>152</v>
      </c>
      <c r="D116" s="18" t="n">
        <v>0</v>
      </c>
      <c r="E116" s="18" t="n">
        <v>3261</v>
      </c>
      <c r="F116" s="27" t="n">
        <f aca="false">E116*1.01</f>
        <v>3293.61</v>
      </c>
      <c r="G116" s="27" t="n">
        <f aca="false">F116*1.01</f>
        <v>3326.5461</v>
      </c>
      <c r="H116" s="27" t="n">
        <f aca="false">G116*1.01</f>
        <v>3359.811561</v>
      </c>
      <c r="I116" s="27" t="n">
        <f aca="false">H116*1.01</f>
        <v>3393.40967661</v>
      </c>
      <c r="J116" s="27" t="n">
        <f aca="false">I116*1.01</f>
        <v>3427.3437733761</v>
      </c>
    </row>
    <row r="117" customFormat="false" ht="15" hidden="false" customHeight="true" outlineLevel="0" collapsed="false">
      <c r="B117" s="7" t="s">
        <v>153</v>
      </c>
      <c r="D117" s="18" t="n">
        <v>2022</v>
      </c>
      <c r="E117" s="18" t="n">
        <v>2380</v>
      </c>
      <c r="F117" s="27" t="n">
        <f aca="false">E117*1.02</f>
        <v>2427.6</v>
      </c>
      <c r="G117" s="27" t="n">
        <f aca="false">F117*1.02</f>
        <v>2476.152</v>
      </c>
      <c r="H117" s="27" t="n">
        <f aca="false">G117*1.02</f>
        <v>2525.67504</v>
      </c>
      <c r="I117" s="27" t="n">
        <f aca="false">H117*1.02</f>
        <v>2576.1885408</v>
      </c>
      <c r="J117" s="27" t="n">
        <f aca="false">I117*1.02</f>
        <v>2627.712311616</v>
      </c>
    </row>
    <row r="118" customFormat="false" ht="15" hidden="false" customHeight="true" outlineLevel="0" collapsed="false">
      <c r="B118" s="3" t="s">
        <v>154</v>
      </c>
      <c r="D118" s="30" t="n">
        <f aca="false">SUM(D113:D117)</f>
        <v>71770.664</v>
      </c>
      <c r="E118" s="30" t="n">
        <f aca="false">SUM(E113:E117)</f>
        <v>81514.1</v>
      </c>
      <c r="F118" s="30" t="n">
        <f aca="false">SUM(F113:F117)</f>
        <v>84821.0874</v>
      </c>
      <c r="G118" s="30" t="n">
        <f aca="false">SUM(G113:G117)</f>
        <v>87897.426356</v>
      </c>
      <c r="H118" s="30" t="n">
        <f aca="false">SUM(H113:H117)</f>
        <v>90723.52913596</v>
      </c>
      <c r="I118" s="30" t="n">
        <f aca="false">SUM(I113:I117)</f>
        <v>93539.9710310936</v>
      </c>
      <c r="J118" s="30" t="n">
        <f aca="false">SUM(J113:J117)</f>
        <v>96060.6819030862</v>
      </c>
    </row>
    <row r="120" customFormat="false" ht="15" hidden="false" customHeight="true" outlineLevel="0" collapsed="false">
      <c r="B120" s="3" t="s">
        <v>155</v>
      </c>
    </row>
    <row r="121" customFormat="false" ht="15" hidden="false" customHeight="true" outlineLevel="0" collapsed="false">
      <c r="B121" s="7" t="s">
        <v>156</v>
      </c>
      <c r="D121" s="18" t="n">
        <v>6800</v>
      </c>
      <c r="E121" s="27" t="n">
        <f aca="false">D125</f>
        <v>7617</v>
      </c>
      <c r="F121" s="27" t="n">
        <f aca="false">E125</f>
        <v>8095</v>
      </c>
      <c r="G121" s="27" t="n">
        <f aca="false">F125</f>
        <v>8622.59477442094</v>
      </c>
      <c r="H121" s="27" t="n">
        <f aca="false">G125</f>
        <v>9162.90896615728</v>
      </c>
      <c r="I121" s="27" t="n">
        <f aca="false">H125</f>
        <v>9642.27976370793</v>
      </c>
      <c r="J121" s="27" t="n">
        <f aca="false">I125</f>
        <v>10108.2110149567</v>
      </c>
    </row>
    <row r="122" customFormat="false" ht="15" hidden="false" customHeight="true" outlineLevel="0" collapsed="false">
      <c r="B122" s="7" t="s">
        <v>157</v>
      </c>
      <c r="D122" s="22" t="n">
        <f aca="false">D84</f>
        <v>1012.90669728</v>
      </c>
      <c r="E122" s="22" t="n">
        <f aca="false">E84</f>
        <v>999.09997692</v>
      </c>
      <c r="F122" s="22" t="n">
        <f aca="false">F84</f>
        <v>1226.9645916766</v>
      </c>
      <c r="G122" s="22" t="n">
        <f aca="false">G84</f>
        <v>1267.69047204364</v>
      </c>
      <c r="H122" s="22" t="n">
        <f aca="false">H84</f>
        <v>1347.54056083214</v>
      </c>
      <c r="I122" s="22" t="n">
        <f aca="false">I84</f>
        <v>1430.18930352149</v>
      </c>
      <c r="J122" s="22" t="n">
        <f aca="false">J84</f>
        <v>1535.3025326965</v>
      </c>
    </row>
    <row r="123" customFormat="false" ht="15" hidden="false" customHeight="true" outlineLevel="0" collapsed="false">
      <c r="B123" s="7" t="s">
        <v>158</v>
      </c>
      <c r="D123" s="22" t="n">
        <f aca="false">-D254</f>
        <v>-373</v>
      </c>
      <c r="E123" s="22" t="n">
        <f aca="false">-E254</f>
        <v>-399</v>
      </c>
      <c r="F123" s="22" t="n">
        <f aca="false">-F254</f>
        <v>-699.369817255659</v>
      </c>
      <c r="G123" s="22" t="n">
        <f aca="false">-G254</f>
        <v>-727.376280307295</v>
      </c>
      <c r="H123" s="22" t="n">
        <f aca="false">-H254</f>
        <v>-868.169763281492</v>
      </c>
      <c r="I123" s="22" t="n">
        <f aca="false">-I254</f>
        <v>-964.258052272677</v>
      </c>
      <c r="J123" s="22" t="n">
        <f aca="false">-J254</f>
        <v>-1086.12637017399</v>
      </c>
    </row>
    <row r="124" customFormat="false" ht="15" hidden="false" customHeight="true" outlineLevel="0" collapsed="false">
      <c r="B124" s="7" t="s">
        <v>159</v>
      </c>
      <c r="D124" s="19" t="n">
        <v>190</v>
      </c>
      <c r="E124" s="19" t="n">
        <v>-125</v>
      </c>
      <c r="F124" s="19" t="n">
        <v>0</v>
      </c>
      <c r="G124" s="19" t="n">
        <v>0</v>
      </c>
      <c r="H124" s="19" t="n">
        <v>0</v>
      </c>
      <c r="I124" s="19" t="n">
        <v>0</v>
      </c>
      <c r="J124" s="19" t="n">
        <v>0</v>
      </c>
    </row>
    <row r="125" customFormat="false" ht="15" hidden="false" customHeight="true" outlineLevel="0" collapsed="false">
      <c r="B125" s="3" t="s">
        <v>160</v>
      </c>
      <c r="D125" s="31" t="n">
        <v>7617</v>
      </c>
      <c r="E125" s="31" t="n">
        <v>8095</v>
      </c>
      <c r="F125" s="30" t="n">
        <f aca="false">SUM(F121:F124)</f>
        <v>8622.59477442094</v>
      </c>
      <c r="G125" s="30" t="n">
        <f aca="false">SUM(G121:G124)</f>
        <v>9162.90896615728</v>
      </c>
      <c r="H125" s="30" t="n">
        <f aca="false">SUM(H121:H124)</f>
        <v>9642.27976370793</v>
      </c>
      <c r="I125" s="30" t="n">
        <f aca="false">SUM(I121:I124)</f>
        <v>10108.2110149567</v>
      </c>
      <c r="J125" s="30" t="n">
        <f aca="false">SUM(J121:J124)</f>
        <v>10557.3871774793</v>
      </c>
    </row>
    <row r="126" customFormat="false" ht="15" hidden="false" customHeight="true" outlineLevel="0" collapsed="false">
      <c r="B126" s="7" t="s">
        <v>161</v>
      </c>
      <c r="D126" s="18" t="n">
        <v>600</v>
      </c>
      <c r="E126" s="18" t="n">
        <v>1204</v>
      </c>
      <c r="F126" s="18" t="n">
        <v>1000</v>
      </c>
      <c r="G126" s="18" t="n">
        <v>1000</v>
      </c>
      <c r="H126" s="18" t="n">
        <v>1000</v>
      </c>
      <c r="I126" s="18" t="n">
        <v>1000</v>
      </c>
      <c r="J126" s="18" t="n">
        <v>1000</v>
      </c>
    </row>
    <row r="127" customFormat="false" ht="15" hidden="false" customHeight="true" outlineLevel="0" collapsed="false">
      <c r="B127" s="7" t="s">
        <v>69</v>
      </c>
      <c r="D127" s="18" t="n">
        <v>56</v>
      </c>
      <c r="E127" s="18" t="n">
        <v>79</v>
      </c>
      <c r="F127" s="27" t="n">
        <f aca="false">E127+F$24</f>
        <v>85</v>
      </c>
      <c r="G127" s="27" t="n">
        <f aca="false">F127+G$24</f>
        <v>93</v>
      </c>
      <c r="H127" s="27" t="n">
        <f aca="false">G127+H$24</f>
        <v>102</v>
      </c>
      <c r="I127" s="27" t="n">
        <f aca="false">H127+I$24</f>
        <v>112</v>
      </c>
      <c r="J127" s="27" t="n">
        <f aca="false">I127+J$24</f>
        <v>122</v>
      </c>
    </row>
    <row r="128" customFormat="false" ht="15" hidden="false" customHeight="true" outlineLevel="0" collapsed="false">
      <c r="B128" s="3" t="s">
        <v>162</v>
      </c>
      <c r="D128" s="30" t="n">
        <f aca="false">SUM(D125:D127)</f>
        <v>8273</v>
      </c>
      <c r="E128" s="30" t="n">
        <f aca="false">SUM(E125:E127)</f>
        <v>9378</v>
      </c>
      <c r="F128" s="30" t="n">
        <f aca="false">SUM(F125:F127)</f>
        <v>9707.59477442094</v>
      </c>
      <c r="G128" s="30" t="n">
        <f aca="false">SUM(G125:G127)</f>
        <v>10255.9089661573</v>
      </c>
      <c r="H128" s="30" t="n">
        <f aca="false">SUM(H125:H127)</f>
        <v>10744.2797637079</v>
      </c>
      <c r="I128" s="30" t="n">
        <f aca="false">SUM(I125:I127)</f>
        <v>11220.2110149567</v>
      </c>
      <c r="J128" s="30" t="n">
        <f aca="false">SUM(J125:J127)</f>
        <v>11679.3871774793</v>
      </c>
    </row>
    <row r="129" customFormat="false" ht="15" hidden="false" customHeight="true" outlineLevel="0" collapsed="false">
      <c r="B129" s="7" t="s">
        <v>163</v>
      </c>
      <c r="C129" s="7" t="s">
        <v>164</v>
      </c>
      <c r="D129" s="27" t="n">
        <f aca="false">D125-D106</f>
        <v>7201</v>
      </c>
      <c r="E129" s="27" t="n">
        <f aca="false">E125-E106</f>
        <v>7277</v>
      </c>
      <c r="F129" s="27" t="n">
        <f aca="false">F125-F106</f>
        <v>7727.59477442094</v>
      </c>
      <c r="G129" s="27" t="n">
        <f aca="false">G125-G106</f>
        <v>8190.90896615728</v>
      </c>
      <c r="H129" s="27" t="n">
        <f aca="false">H125-H106</f>
        <v>8591.52976370793</v>
      </c>
      <c r="I129" s="27" t="n">
        <f aca="false">I125-I106</f>
        <v>8978.71101495674</v>
      </c>
      <c r="J129" s="27" t="n">
        <f aca="false">J125-J106</f>
        <v>9347.38717747925</v>
      </c>
    </row>
    <row r="130" customFormat="false" ht="15" hidden="false" customHeight="true" outlineLevel="0" collapsed="false">
      <c r="B130" s="3" t="s">
        <v>165</v>
      </c>
      <c r="D130" s="29" t="n">
        <f aca="false">D118+D128</f>
        <v>80043.664</v>
      </c>
      <c r="E130" s="29" t="n">
        <f aca="false">E118+E128</f>
        <v>90892.1</v>
      </c>
      <c r="F130" s="29" t="n">
        <f aca="false">F118+F128</f>
        <v>94528.6821744209</v>
      </c>
      <c r="G130" s="29" t="n">
        <f aca="false">G118+G128</f>
        <v>98153.3353221573</v>
      </c>
      <c r="H130" s="29" t="n">
        <f aca="false">H118+H128</f>
        <v>101467.808899668</v>
      </c>
      <c r="I130" s="29" t="n">
        <f aca="false">I118+I128</f>
        <v>104760.18204605</v>
      </c>
      <c r="J130" s="29" t="n">
        <f aca="false">J118+J128</f>
        <v>107740.069080565</v>
      </c>
    </row>
    <row r="132" customFormat="false" ht="21.75" hidden="false" customHeight="true" outlineLevel="0" collapsed="false">
      <c r="B132" s="3" t="s">
        <v>166</v>
      </c>
      <c r="D132" s="32" t="n">
        <f aca="false">D110-D130</f>
        <v>0.277161790014361</v>
      </c>
      <c r="E132" s="32" t="n">
        <f aca="false">E110-E130</f>
        <v>1.31724325998221</v>
      </c>
      <c r="F132" s="32" t="n">
        <f aca="false">F110-F130</f>
        <v>0</v>
      </c>
      <c r="G132" s="32" t="n">
        <f aca="false">G110-G130</f>
        <v>0</v>
      </c>
      <c r="H132" s="32" t="n">
        <f aca="false">H110-H130</f>
        <v>0</v>
      </c>
      <c r="I132" s="32" t="n">
        <f aca="false">I110-I130</f>
        <v>0</v>
      </c>
      <c r="J132" s="32" t="n">
        <f aca="false">J110-J130</f>
        <v>0</v>
      </c>
      <c r="L132" s="16" t="s">
        <v>167</v>
      </c>
    </row>
    <row r="135" customFormat="false" ht="21.75" hidden="false" customHeight="true" outlineLevel="0" collapsed="false">
      <c r="B135" s="2" t="s">
        <v>24</v>
      </c>
      <c r="C135" s="2"/>
      <c r="D135" s="2"/>
      <c r="E135" s="2"/>
      <c r="F135" s="2"/>
      <c r="G135" s="2"/>
      <c r="H135" s="2"/>
      <c r="I135" s="2"/>
      <c r="J135" s="2"/>
    </row>
    <row r="137" customFormat="false" ht="15" hidden="false" customHeight="true" outlineLevel="0" collapsed="false">
      <c r="B137" s="12" t="s">
        <v>44</v>
      </c>
      <c r="D137" s="13" t="n">
        <f aca="false">+D$5</f>
        <v>2024</v>
      </c>
      <c r="E137" s="13" t="n">
        <f aca="false">+E$5</f>
        <v>2025</v>
      </c>
      <c r="F137" s="13" t="n">
        <f aca="false">+F$5</f>
        <v>2026</v>
      </c>
      <c r="G137" s="13" t="n">
        <f aca="false">+G$5</f>
        <v>2027</v>
      </c>
      <c r="H137" s="13" t="n">
        <f aca="false">+H$5</f>
        <v>2028</v>
      </c>
      <c r="I137" s="13" t="n">
        <f aca="false">+I$5</f>
        <v>2029</v>
      </c>
      <c r="J137" s="13" t="n">
        <f aca="false">+J$5</f>
        <v>2030</v>
      </c>
    </row>
    <row r="139" customFormat="false" ht="15" hidden="false" customHeight="true" outlineLevel="0" collapsed="false">
      <c r="B139" s="3" t="s">
        <v>168</v>
      </c>
    </row>
    <row r="140" customFormat="false" ht="15" hidden="false" customHeight="true" outlineLevel="0" collapsed="false">
      <c r="B140" s="7" t="s">
        <v>124</v>
      </c>
      <c r="D140" s="22" t="n">
        <f aca="false">D82</f>
        <v>1065.90669728</v>
      </c>
      <c r="E140" s="22" t="n">
        <f aca="false">E82</f>
        <v>1070.09997692</v>
      </c>
      <c r="F140" s="22" t="n">
        <f aca="false">F82</f>
        <v>1311.9645916766</v>
      </c>
      <c r="G140" s="22" t="n">
        <f aca="false">G82</f>
        <v>1352.69047204364</v>
      </c>
      <c r="H140" s="22" t="n">
        <f aca="false">H82</f>
        <v>1432.54056083214</v>
      </c>
      <c r="I140" s="22" t="n">
        <f aca="false">I82</f>
        <v>1515.18930352149</v>
      </c>
      <c r="J140" s="22" t="n">
        <f aca="false">J82</f>
        <v>1620.3025326965</v>
      </c>
    </row>
    <row r="141" customFormat="false" ht="15" hidden="false" customHeight="true" outlineLevel="0" collapsed="false">
      <c r="B141" s="7" t="s">
        <v>169</v>
      </c>
      <c r="D141" s="22" t="n">
        <f aca="false">-D69</f>
        <v>118.9</v>
      </c>
      <c r="E141" s="22" t="n">
        <f aca="false">-E69</f>
        <v>131.2</v>
      </c>
      <c r="F141" s="22" t="n">
        <f aca="false">-F69</f>
        <v>138.707975738363</v>
      </c>
      <c r="G141" s="22" t="n">
        <f aca="false">-G69</f>
        <v>147.723994161357</v>
      </c>
      <c r="H141" s="22" t="n">
        <f aca="false">-H69</f>
        <v>151.187867127899</v>
      </c>
      <c r="I141" s="22" t="n">
        <f aca="false">-I69</f>
        <v>159.503199819933</v>
      </c>
      <c r="J141" s="22" t="n">
        <f aca="false">-J69</f>
        <v>161.496989817682</v>
      </c>
    </row>
    <row r="142" customFormat="false" ht="15" hidden="false" customHeight="true" outlineLevel="0" collapsed="false">
      <c r="B142" s="7" t="s">
        <v>170</v>
      </c>
      <c r="D142" s="22" t="n">
        <f aca="false">-D75</f>
        <v>280.6</v>
      </c>
      <c r="E142" s="22" t="n">
        <f aca="false">-E75</f>
        <v>288.8</v>
      </c>
      <c r="F142" s="22" t="n">
        <f aca="false">-F75</f>
        <v>221.576814491435</v>
      </c>
      <c r="G142" s="22" t="n">
        <f aca="false">-G75</f>
        <v>256.801076461818</v>
      </c>
      <c r="H142" s="22" t="n">
        <f aca="false">-H75</f>
        <v>288.57118169796</v>
      </c>
      <c r="I142" s="22" t="n">
        <f aca="false">-I75</f>
        <v>316.239121714758</v>
      </c>
      <c r="J142" s="22" t="n">
        <f aca="false">-J75</f>
        <v>338.659472474823</v>
      </c>
      <c r="L142" s="16" t="s">
        <v>171</v>
      </c>
    </row>
    <row r="143" customFormat="false" ht="15" hidden="false" customHeight="true" outlineLevel="0" collapsed="false">
      <c r="B143" s="7" t="s">
        <v>172</v>
      </c>
      <c r="D143" s="19" t="n">
        <v>120</v>
      </c>
      <c r="E143" s="19" t="n">
        <v>106</v>
      </c>
      <c r="F143" s="22" t="n">
        <f aca="false">F$32</f>
        <v>400</v>
      </c>
      <c r="G143" s="22" t="n">
        <f aca="false">G$32</f>
        <v>400</v>
      </c>
      <c r="H143" s="22" t="n">
        <f aca="false">H$32</f>
        <v>400</v>
      </c>
      <c r="I143" s="22" t="n">
        <f aca="false">I$32</f>
        <v>400</v>
      </c>
      <c r="J143" s="22" t="n">
        <f aca="false">J$32</f>
        <v>400</v>
      </c>
    </row>
    <row r="144" customFormat="false" ht="21.75" hidden="false" customHeight="true" outlineLevel="0" collapsed="false">
      <c r="B144" s="7" t="s">
        <v>173</v>
      </c>
      <c r="D144" s="19" t="n">
        <v>-4200</v>
      </c>
      <c r="E144" s="22" t="n">
        <f aca="false">-(E102-D102)</f>
        <v>-3021.93008147</v>
      </c>
      <c r="F144" s="22" t="n">
        <f aca="false">-(F102-E102)</f>
        <v>-3303.76369607078</v>
      </c>
      <c r="G144" s="22" t="n">
        <f aca="false">-(G102-F102)</f>
        <v>-3070.45170852851</v>
      </c>
      <c r="H144" s="22" t="n">
        <f aca="false">-(H102-G102)</f>
        <v>-3013.07282263545</v>
      </c>
      <c r="I144" s="22" t="n">
        <f aca="false">-(I102-H102)</f>
        <v>-2922.32580746937</v>
      </c>
      <c r="J144" s="22" t="n">
        <f aca="false">-(J102-I102)</f>
        <v>-2797.47250448473</v>
      </c>
      <c r="L144" s="16" t="s">
        <v>174</v>
      </c>
    </row>
    <row r="145" customFormat="false" ht="21.75" hidden="false" customHeight="true" outlineLevel="0" collapsed="false">
      <c r="B145" s="7" t="s">
        <v>175</v>
      </c>
      <c r="D145" s="19" t="n">
        <v>3100</v>
      </c>
      <c r="E145" s="22" t="n">
        <f aca="false">E114-D114</f>
        <v>3691.207</v>
      </c>
      <c r="F145" s="22" t="n">
        <f aca="false">F114-E114</f>
        <v>3327.2034</v>
      </c>
      <c r="G145" s="22" t="n">
        <f aca="false">G114-F114</f>
        <v>2794.850856</v>
      </c>
      <c r="H145" s="22" t="n">
        <f aca="false">H114-G114</f>
        <v>2543.31427896</v>
      </c>
      <c r="I145" s="22" t="n">
        <f aca="false">I114-H114</f>
        <v>2632.33027872359</v>
      </c>
      <c r="J145" s="22" t="n">
        <f aca="false">J114-I114</f>
        <v>2335.25300441051</v>
      </c>
      <c r="L145" s="16" t="s">
        <v>176</v>
      </c>
    </row>
    <row r="146" customFormat="false" ht="15" hidden="false" customHeight="true" outlineLevel="0" collapsed="false">
      <c r="B146" s="7" t="s">
        <v>177</v>
      </c>
      <c r="D146" s="19" t="n">
        <v>-150</v>
      </c>
      <c r="E146" s="19" t="n">
        <v>120</v>
      </c>
      <c r="F146" s="22" t="n">
        <f aca="false">(F117-E117)-(F109-E109)</f>
        <v>-17.6400000000003</v>
      </c>
      <c r="G146" s="22" t="n">
        <f aca="false">(G117-F117)-(G109-F109)</f>
        <v>-17.9928</v>
      </c>
      <c r="H146" s="22" t="n">
        <f aca="false">(H117-G117)-(H109-G109)</f>
        <v>-18.352656</v>
      </c>
      <c r="I146" s="22" t="n">
        <f aca="false">(I117-H117)-(I109-H109)</f>
        <v>-18.7197091200001</v>
      </c>
      <c r="J146" s="22" t="n">
        <f aca="false">(J117-I117)-(J109-I109)</f>
        <v>-19.0941033023996</v>
      </c>
    </row>
    <row r="147" customFormat="false" ht="15" hidden="false" customHeight="true" outlineLevel="0" collapsed="false">
      <c r="B147" s="3" t="s">
        <v>178</v>
      </c>
      <c r="D147" s="23" t="n">
        <f aca="false">SUM(D140:D146)</f>
        <v>335.40669728</v>
      </c>
      <c r="E147" s="23" t="n">
        <f aca="false">SUM(E140:E146)</f>
        <v>2385.37689545001</v>
      </c>
      <c r="F147" s="23" t="n">
        <f aca="false">SUM(F140:F146)</f>
        <v>2078.04908583561</v>
      </c>
      <c r="G147" s="23" t="n">
        <f aca="false">SUM(G140:G146)</f>
        <v>1863.6218901383</v>
      </c>
      <c r="H147" s="23" t="n">
        <f aca="false">SUM(H140:H146)</f>
        <v>1784.18840998255</v>
      </c>
      <c r="I147" s="23" t="n">
        <f aca="false">SUM(I140:I146)</f>
        <v>2082.21638719041</v>
      </c>
      <c r="J147" s="23" t="n">
        <f aca="false">SUM(J140:J146)</f>
        <v>2039.14539161238</v>
      </c>
    </row>
    <row r="149" customFormat="false" ht="15" hidden="false" customHeight="true" outlineLevel="0" collapsed="false">
      <c r="B149" s="3" t="s">
        <v>179</v>
      </c>
    </row>
    <row r="150" customFormat="false" ht="15" hidden="false" customHeight="true" outlineLevel="0" collapsed="false">
      <c r="B150" s="7" t="s">
        <v>180</v>
      </c>
      <c r="D150" s="19" t="n">
        <v>-210</v>
      </c>
      <c r="E150" s="19" t="n">
        <v>-215</v>
      </c>
      <c r="F150" s="22" t="n">
        <f aca="false">-F$33</f>
        <v>-220</v>
      </c>
      <c r="G150" s="22" t="n">
        <f aca="false">-G$33</f>
        <v>-220</v>
      </c>
      <c r="H150" s="22" t="n">
        <f aca="false">-H$33</f>
        <v>-225</v>
      </c>
      <c r="I150" s="22" t="n">
        <f aca="false">-I$33</f>
        <v>-225</v>
      </c>
      <c r="J150" s="22" t="n">
        <f aca="false">-J$33</f>
        <v>-230</v>
      </c>
    </row>
    <row r="151" customFormat="false" ht="15" hidden="false" customHeight="true" outlineLevel="0" collapsed="false">
      <c r="B151" s="7" t="s">
        <v>181</v>
      </c>
      <c r="D151" s="19" t="n">
        <v>-1900</v>
      </c>
      <c r="E151" s="22" t="n">
        <f aca="false">-(E103-D103)</f>
        <v>-1907.546</v>
      </c>
      <c r="F151" s="22" t="n">
        <f aca="false">-(F103-E103)</f>
        <v>-1874.4081</v>
      </c>
      <c r="G151" s="22" t="n">
        <f aca="false">-(G103-F103)</f>
        <v>-824.739564</v>
      </c>
      <c r="H151" s="22" t="n">
        <f aca="false">-(H103-G103)</f>
        <v>-643.296859919999</v>
      </c>
      <c r="I151" s="22" t="n">
        <f aca="false">-(I103-H103)</f>
        <v>-662.5957657176</v>
      </c>
      <c r="J151" s="22" t="n">
        <f aca="false">-(J103-I103)</f>
        <v>-682.473638689127</v>
      </c>
    </row>
    <row r="152" customFormat="false" ht="15" hidden="false" customHeight="true" outlineLevel="0" collapsed="false">
      <c r="B152" s="7" t="s">
        <v>182</v>
      </c>
      <c r="D152" s="19" t="n">
        <v>0</v>
      </c>
      <c r="E152" s="19" t="n">
        <v>-600</v>
      </c>
      <c r="F152" s="19" t="n">
        <v>0</v>
      </c>
      <c r="G152" s="19" t="n">
        <v>0</v>
      </c>
      <c r="H152" s="19" t="n">
        <v>0</v>
      </c>
      <c r="I152" s="19" t="n">
        <v>0</v>
      </c>
      <c r="J152" s="19" t="n">
        <v>0</v>
      </c>
    </row>
    <row r="153" customFormat="false" ht="15" hidden="false" customHeight="true" outlineLevel="0" collapsed="false">
      <c r="B153" s="3" t="s">
        <v>183</v>
      </c>
      <c r="D153" s="23" t="n">
        <f aca="false">SUM(D150:D152)</f>
        <v>-2110</v>
      </c>
      <c r="E153" s="23" t="n">
        <f aca="false">SUM(E150:E152)</f>
        <v>-2722.546</v>
      </c>
      <c r="F153" s="23" t="n">
        <f aca="false">SUM(F150:F152)</f>
        <v>-2094.4081</v>
      </c>
      <c r="G153" s="23" t="n">
        <f aca="false">SUM(G150:G152)</f>
        <v>-1044.739564</v>
      </c>
      <c r="H153" s="23" t="n">
        <f aca="false">SUM(H150:H152)</f>
        <v>-868.296859919999</v>
      </c>
      <c r="I153" s="23" t="n">
        <f aca="false">SUM(I150:I152)</f>
        <v>-887.5957657176</v>
      </c>
      <c r="J153" s="23" t="n">
        <f aca="false">SUM(J150:J152)</f>
        <v>-912.473638689127</v>
      </c>
    </row>
    <row r="155" customFormat="false" ht="15" hidden="false" customHeight="true" outlineLevel="0" collapsed="false">
      <c r="B155" s="3" t="s">
        <v>184</v>
      </c>
    </row>
    <row r="156" customFormat="false" ht="15" hidden="false" customHeight="true" outlineLevel="0" collapsed="false">
      <c r="B156" s="7" t="s">
        <v>185</v>
      </c>
      <c r="D156" s="19" t="n">
        <v>700</v>
      </c>
      <c r="E156" s="22" t="n">
        <f aca="false">E115-D115</f>
        <v>1182.236</v>
      </c>
      <c r="F156" s="22" t="n">
        <f aca="false">F115-E115</f>
        <v>-100.426</v>
      </c>
      <c r="G156" s="22" t="n">
        <f aca="false">G115-F115</f>
        <v>200</v>
      </c>
      <c r="H156" s="22" t="n">
        <f aca="false">H115-G115</f>
        <v>200</v>
      </c>
      <c r="I156" s="22" t="n">
        <f aca="false">I115-H115</f>
        <v>100</v>
      </c>
      <c r="J156" s="22" t="n">
        <f aca="false">J115-I115</f>
        <v>100</v>
      </c>
    </row>
    <row r="157" customFormat="false" ht="15" hidden="false" customHeight="true" outlineLevel="0" collapsed="false">
      <c r="B157" s="7" t="s">
        <v>186</v>
      </c>
      <c r="D157" s="19" t="n">
        <v>-1500</v>
      </c>
      <c r="E157" s="22" t="n">
        <f aca="false">E113-D113</f>
        <v>1250.993</v>
      </c>
      <c r="F157" s="22" t="n">
        <f aca="false">F113-E113</f>
        <v>0</v>
      </c>
      <c r="G157" s="22" t="n">
        <f aca="false">G113-F113</f>
        <v>0</v>
      </c>
      <c r="H157" s="22" t="n">
        <f aca="false">H113-G113</f>
        <v>0</v>
      </c>
      <c r="I157" s="22" t="n">
        <f aca="false">I113-H113</f>
        <v>0</v>
      </c>
      <c r="J157" s="22" t="n">
        <f aca="false">J113-I113</f>
        <v>0</v>
      </c>
    </row>
    <row r="158" customFormat="false" ht="15" hidden="false" customHeight="true" outlineLevel="0" collapsed="false">
      <c r="B158" s="7" t="s">
        <v>187</v>
      </c>
      <c r="D158" s="22" t="n">
        <f aca="false">D123</f>
        <v>-373</v>
      </c>
      <c r="E158" s="22" t="n">
        <f aca="false">E123</f>
        <v>-399</v>
      </c>
      <c r="F158" s="22" t="n">
        <f aca="false">F123</f>
        <v>-699.369817255659</v>
      </c>
      <c r="G158" s="22" t="n">
        <f aca="false">G123</f>
        <v>-727.376280307295</v>
      </c>
      <c r="H158" s="22" t="n">
        <f aca="false">H123</f>
        <v>-868.169763281492</v>
      </c>
      <c r="I158" s="22" t="n">
        <f aca="false">I123</f>
        <v>-964.258052272677</v>
      </c>
      <c r="J158" s="22" t="n">
        <f aca="false">J123</f>
        <v>-1086.12637017399</v>
      </c>
    </row>
    <row r="159" customFormat="false" ht="15" hidden="false" customHeight="true" outlineLevel="0" collapsed="false">
      <c r="B159" s="7" t="s">
        <v>188</v>
      </c>
      <c r="D159" s="22" t="n">
        <f aca="false">D83</f>
        <v>-53</v>
      </c>
      <c r="E159" s="22" t="n">
        <f aca="false">E83</f>
        <v>-71</v>
      </c>
      <c r="F159" s="22" t="n">
        <f aca="false">F83</f>
        <v>-85</v>
      </c>
      <c r="G159" s="22" t="n">
        <f aca="false">G83</f>
        <v>-85</v>
      </c>
      <c r="H159" s="22" t="n">
        <f aca="false">H83</f>
        <v>-85</v>
      </c>
      <c r="I159" s="22" t="n">
        <f aca="false">I83</f>
        <v>-85</v>
      </c>
      <c r="J159" s="22" t="n">
        <f aca="false">J83</f>
        <v>-85</v>
      </c>
    </row>
    <row r="160" customFormat="false" ht="21.75" hidden="false" customHeight="true" outlineLevel="0" collapsed="false">
      <c r="B160" s="7" t="s">
        <v>189</v>
      </c>
      <c r="D160" s="22" t="n">
        <f aca="false">D100-D164-D147-D153-SUM(D156:D159)</f>
        <v>623.59330272</v>
      </c>
      <c r="E160" s="22" t="n">
        <f aca="false">E100-E164-E147-E153-SUM(E156:E159)</f>
        <v>-1552.05989545001</v>
      </c>
      <c r="F160" s="22" t="n">
        <f aca="false">F100-F164-F147-F153-SUM(F156:F159)</f>
        <v>-422.984057751423</v>
      </c>
      <c r="G160" s="22" t="n">
        <f aca="false">G100-G164-G147-G153-SUM(G156:G159)</f>
        <v>-250.911976461815</v>
      </c>
      <c r="H160" s="22" t="n">
        <f aca="false">H100-H164-H147-H153-SUM(H156:H159)</f>
        <v>-281.70319069797</v>
      </c>
      <c r="I160" s="22" t="n">
        <f aca="false">I100-I164-I147-I153-SUM(I156:I159)</f>
        <v>-308.392450804756</v>
      </c>
      <c r="J160" s="22" t="n">
        <f aca="false">J100-J164-J147-J153-SUM(J156:J159)</f>
        <v>-330.834334855714</v>
      </c>
      <c r="L160" s="16" t="s">
        <v>190</v>
      </c>
    </row>
    <row r="161" customFormat="false" ht="15" hidden="false" customHeight="true" outlineLevel="0" collapsed="false">
      <c r="B161" s="3" t="s">
        <v>191</v>
      </c>
      <c r="D161" s="23" t="n">
        <f aca="false">SUM(D156:D160)</f>
        <v>-602.40669728</v>
      </c>
      <c r="E161" s="23" t="n">
        <f aca="false">SUM(E156:E160)</f>
        <v>411.169104549992</v>
      </c>
      <c r="F161" s="23" t="n">
        <f aca="false">SUM(F156:F160)</f>
        <v>-1307.77987500708</v>
      </c>
      <c r="G161" s="23" t="n">
        <f aca="false">SUM(G156:G160)</f>
        <v>-863.28825676911</v>
      </c>
      <c r="H161" s="23" t="n">
        <f aca="false">SUM(H156:H160)</f>
        <v>-1034.87295397946</v>
      </c>
      <c r="I161" s="23" t="n">
        <f aca="false">SUM(I156:I160)</f>
        <v>-1257.65050307743</v>
      </c>
      <c r="J161" s="23" t="n">
        <f aca="false">SUM(J156:J160)</f>
        <v>-1401.9607050297</v>
      </c>
    </row>
    <row r="163" customFormat="false" ht="15" hidden="false" customHeight="true" outlineLevel="0" collapsed="false">
      <c r="B163" s="3" t="s">
        <v>192</v>
      </c>
      <c r="D163" s="23" t="n">
        <f aca="false">D147+D153+D161</f>
        <v>-2377</v>
      </c>
      <c r="E163" s="23" t="n">
        <f aca="false">E147+E153+E161</f>
        <v>74</v>
      </c>
      <c r="F163" s="23" t="n">
        <f aca="false">F147+F153+F161</f>
        <v>-1324.13888917147</v>
      </c>
      <c r="G163" s="23" t="n">
        <f aca="false">G147+G153+G161</f>
        <v>-44.4059306308045</v>
      </c>
      <c r="H163" s="23" t="n">
        <f aca="false">H147+H153+H161</f>
        <v>-118.981403916914</v>
      </c>
      <c r="I163" s="23" t="n">
        <f aca="false">I147+I153+I161</f>
        <v>-63.029881604627</v>
      </c>
      <c r="J163" s="23" t="n">
        <f aca="false">J147+J153+J161</f>
        <v>-275.28895210645</v>
      </c>
    </row>
    <row r="164" customFormat="false" ht="15" hidden="false" customHeight="true" outlineLevel="0" collapsed="false">
      <c r="B164" s="7" t="s">
        <v>193</v>
      </c>
      <c r="D164" s="19" t="n">
        <v>9800</v>
      </c>
      <c r="E164" s="22" t="n">
        <f aca="false">D100</f>
        <v>7423</v>
      </c>
      <c r="F164" s="22" t="n">
        <f aca="false">E100</f>
        <v>7497</v>
      </c>
      <c r="G164" s="22" t="n">
        <f aca="false">F100</f>
        <v>6172.86111082853</v>
      </c>
      <c r="H164" s="22" t="n">
        <f aca="false">G100</f>
        <v>6128.45518019772</v>
      </c>
      <c r="I164" s="22" t="n">
        <f aca="false">H100</f>
        <v>6009.47377628081</v>
      </c>
      <c r="J164" s="22" t="n">
        <f aca="false">I100</f>
        <v>5946.44389467618</v>
      </c>
    </row>
    <row r="165" customFormat="false" ht="15" hidden="false" customHeight="true" outlineLevel="0" collapsed="false">
      <c r="B165" s="3" t="s">
        <v>194</v>
      </c>
      <c r="D165" s="24" t="n">
        <f aca="false">D164+D163</f>
        <v>7423</v>
      </c>
      <c r="E165" s="24" t="n">
        <f aca="false">E164+E163</f>
        <v>7497</v>
      </c>
      <c r="F165" s="24" t="n">
        <f aca="false">F164+F163</f>
        <v>6172.86111082853</v>
      </c>
      <c r="G165" s="24" t="n">
        <f aca="false">G164+G163</f>
        <v>6128.45518019772</v>
      </c>
      <c r="H165" s="24" t="n">
        <f aca="false">H164+H163</f>
        <v>6009.47377628081</v>
      </c>
      <c r="I165" s="24" t="n">
        <f aca="false">I164+I163</f>
        <v>5946.44389467618</v>
      </c>
      <c r="J165" s="24" t="n">
        <f aca="false">J164+J163</f>
        <v>5671.15494256973</v>
      </c>
    </row>
    <row r="166" customFormat="false" ht="15" hidden="false" customHeight="true" outlineLevel="0" collapsed="false">
      <c r="B166" s="7" t="s">
        <v>195</v>
      </c>
      <c r="C166" s="7" t="s">
        <v>164</v>
      </c>
      <c r="D166" s="22" t="n">
        <f aca="false">D100</f>
        <v>7423</v>
      </c>
      <c r="E166" s="22" t="n">
        <f aca="false">E100</f>
        <v>7497</v>
      </c>
      <c r="F166" s="22" t="n">
        <f aca="false">F100</f>
        <v>6172.86111082853</v>
      </c>
      <c r="G166" s="22" t="n">
        <f aca="false">G100</f>
        <v>6128.45518019772</v>
      </c>
      <c r="H166" s="22" t="n">
        <f aca="false">H100</f>
        <v>6009.47377628081</v>
      </c>
      <c r="I166" s="22" t="n">
        <f aca="false">I100</f>
        <v>5946.44389467618</v>
      </c>
      <c r="J166" s="22" t="n">
        <f aca="false">J100</f>
        <v>5671.15494256973</v>
      </c>
    </row>
    <row r="167" customFormat="false" ht="15" hidden="false" customHeight="true" outlineLevel="0" collapsed="false">
      <c r="B167" s="3" t="s">
        <v>196</v>
      </c>
      <c r="D167" s="33" t="n">
        <f aca="false">D165-D166</f>
        <v>0</v>
      </c>
      <c r="E167" s="33" t="n">
        <f aca="false">E165-E166</f>
        <v>0</v>
      </c>
      <c r="F167" s="33" t="n">
        <f aca="false">F165-F166</f>
        <v>0</v>
      </c>
      <c r="G167" s="33" t="n">
        <f aca="false">G165-G166</f>
        <v>0</v>
      </c>
      <c r="H167" s="33" t="n">
        <f aca="false">H165-H166</f>
        <v>0</v>
      </c>
      <c r="I167" s="33" t="n">
        <f aca="false">I165-I166</f>
        <v>0</v>
      </c>
      <c r="J167" s="33" t="n">
        <f aca="false">J165-J166</f>
        <v>0</v>
      </c>
    </row>
    <row r="170" customFormat="false" ht="21.75" hidden="false" customHeight="true" outlineLevel="0" collapsed="false">
      <c r="B170" s="2" t="s">
        <v>26</v>
      </c>
      <c r="C170" s="2"/>
      <c r="D170" s="2"/>
      <c r="E170" s="2"/>
      <c r="F170" s="2"/>
      <c r="G170" s="2"/>
      <c r="H170" s="2"/>
      <c r="I170" s="2"/>
      <c r="J170" s="2"/>
    </row>
    <row r="172" customFormat="false" ht="15" hidden="false" customHeight="true" outlineLevel="0" collapsed="false">
      <c r="B172" s="12" t="s">
        <v>44</v>
      </c>
      <c r="D172" s="13" t="n">
        <f aca="false">+D$5</f>
        <v>2024</v>
      </c>
      <c r="E172" s="13" t="n">
        <f aca="false">+E$5</f>
        <v>2025</v>
      </c>
      <c r="F172" s="13" t="n">
        <f aca="false">+F$5</f>
        <v>2026</v>
      </c>
      <c r="G172" s="13" t="n">
        <f aca="false">+G$5</f>
        <v>2027</v>
      </c>
      <c r="H172" s="13" t="n">
        <f aca="false">+H$5</f>
        <v>2028</v>
      </c>
      <c r="I172" s="13" t="n">
        <f aca="false">+I$5</f>
        <v>2029</v>
      </c>
      <c r="J172" s="13" t="n">
        <f aca="false">+J$5</f>
        <v>2030</v>
      </c>
    </row>
    <row r="174" customFormat="false" ht="15" hidden="false" customHeight="true" outlineLevel="0" collapsed="false">
      <c r="B174" s="3" t="s">
        <v>197</v>
      </c>
    </row>
    <row r="175" customFormat="false" ht="15" hidden="false" customHeight="true" outlineLevel="0" collapsed="false">
      <c r="B175" s="7" t="s">
        <v>198</v>
      </c>
      <c r="D175" s="18" t="n">
        <v>41425.40616179</v>
      </c>
      <c r="E175" s="18" t="n">
        <v>44493.33624326</v>
      </c>
      <c r="F175" s="27" t="n">
        <f aca="false">E175*(1+F$28)</f>
        <v>47830.3364615045</v>
      </c>
      <c r="G175" s="27" t="n">
        <f aca="false">F175*(1+G$28)</f>
        <v>50939.3083315023</v>
      </c>
      <c r="H175" s="27" t="n">
        <f aca="false">G175*(1+H$28)</f>
        <v>53995.6668313924</v>
      </c>
      <c r="I175" s="27" t="n">
        <f aca="false">H175*(1+I$28)</f>
        <v>56965.428507119</v>
      </c>
      <c r="J175" s="27" t="n">
        <f aca="false">I175*(1+J$28)</f>
        <v>59813.699932475</v>
      </c>
    </row>
    <row r="176" customFormat="false" ht="15" hidden="false" customHeight="true" outlineLevel="0" collapsed="false">
      <c r="B176" s="7" t="s">
        <v>199</v>
      </c>
      <c r="D176" s="18" t="n">
        <v>-691</v>
      </c>
      <c r="E176" s="18" t="n">
        <v>-737</v>
      </c>
      <c r="F176" s="27" t="n">
        <f aca="false">-F223</f>
        <v>-770.236522173715</v>
      </c>
      <c r="G176" s="27" t="n">
        <f aca="false">-G223</f>
        <v>-808.756683642988</v>
      </c>
      <c r="H176" s="27" t="n">
        <f aca="false">-H223</f>
        <v>-852.042360897682</v>
      </c>
      <c r="I176" s="27" t="n">
        <f aca="false">-I223</f>
        <v>-899.478229154896</v>
      </c>
      <c r="J176" s="27" t="n">
        <f aca="false">-J223</f>
        <v>-950.277150026119</v>
      </c>
    </row>
    <row r="177" customFormat="false" ht="15" hidden="false" customHeight="true" outlineLevel="0" collapsed="false">
      <c r="B177" s="3" t="s">
        <v>200</v>
      </c>
      <c r="D177" s="30" t="n">
        <f aca="false">SUM(D175:D176)</f>
        <v>40734.40616179</v>
      </c>
      <c r="E177" s="30" t="n">
        <f aca="false">SUM(E175:E176)</f>
        <v>43756.33624326</v>
      </c>
      <c r="F177" s="30" t="n">
        <f aca="false">SUM(F175:F176)</f>
        <v>47060.0999393308</v>
      </c>
      <c r="G177" s="30" t="n">
        <f aca="false">SUM(G175:G176)</f>
        <v>50130.5516478593</v>
      </c>
      <c r="H177" s="30" t="n">
        <f aca="false">SUM(H175:H176)</f>
        <v>53143.6244704947</v>
      </c>
      <c r="I177" s="30" t="n">
        <f aca="false">SUM(I175:I176)</f>
        <v>56065.9502779641</v>
      </c>
      <c r="J177" s="30" t="n">
        <f aca="false">SUM(J175:J176)</f>
        <v>58863.4227824488</v>
      </c>
    </row>
    <row r="178" customFormat="false" ht="15" hidden="false" customHeight="true" outlineLevel="0" collapsed="false">
      <c r="B178" s="7" t="s">
        <v>201</v>
      </c>
      <c r="D178" s="18" t="n">
        <v>16836.535</v>
      </c>
      <c r="E178" s="18" t="n">
        <v>18744.081</v>
      </c>
      <c r="F178" s="27" t="n">
        <f aca="false">E178*(1+F$30)</f>
        <v>20618.4891</v>
      </c>
      <c r="G178" s="27" t="n">
        <f aca="false">F178*(1+G$30)</f>
        <v>21443.228664</v>
      </c>
      <c r="H178" s="27" t="n">
        <f aca="false">G178*(1+H$30)</f>
        <v>22086.52552392</v>
      </c>
      <c r="I178" s="27" t="n">
        <f aca="false">H178*(1+I$30)</f>
        <v>22749.1212896376</v>
      </c>
      <c r="J178" s="27" t="n">
        <f aca="false">I178*(1+J$30)</f>
        <v>23431.5949283267</v>
      </c>
    </row>
    <row r="179" customFormat="false" ht="15" hidden="false" customHeight="true" outlineLevel="0" collapsed="false">
      <c r="B179" s="7" t="s">
        <v>202</v>
      </c>
      <c r="D179" s="18" t="n">
        <v>62852.861</v>
      </c>
      <c r="E179" s="18" t="n">
        <v>66544.068</v>
      </c>
      <c r="F179" s="27" t="n">
        <f aca="false">E179*(1+F$29)</f>
        <v>69871.2714</v>
      </c>
      <c r="G179" s="27" t="n">
        <f aca="false">F179*(1+G$29)</f>
        <v>72666.122256</v>
      </c>
      <c r="H179" s="27" t="n">
        <f aca="false">G179*(1+H$29)</f>
        <v>75209.43653496</v>
      </c>
      <c r="I179" s="27" t="n">
        <f aca="false">H179*(1+I$29)</f>
        <v>77841.7668136836</v>
      </c>
      <c r="J179" s="27" t="n">
        <f aca="false">I179*(1+J$29)</f>
        <v>80177.0198180941</v>
      </c>
    </row>
    <row r="180" customFormat="false" ht="15" hidden="false" customHeight="true" outlineLevel="0" collapsed="false">
      <c r="B180" s="7" t="s">
        <v>76</v>
      </c>
      <c r="D180" s="18" t="n">
        <v>4518.19</v>
      </c>
      <c r="E180" s="18" t="n">
        <v>5700.426</v>
      </c>
      <c r="F180" s="27" t="n">
        <f aca="false">F$31</f>
        <v>5600</v>
      </c>
      <c r="G180" s="27" t="n">
        <f aca="false">G$31</f>
        <v>5800</v>
      </c>
      <c r="H180" s="27" t="n">
        <f aca="false">H$31</f>
        <v>6000</v>
      </c>
      <c r="I180" s="27" t="n">
        <f aca="false">I$31</f>
        <v>6100</v>
      </c>
      <c r="J180" s="27" t="n">
        <f aca="false">J$31</f>
        <v>6200</v>
      </c>
    </row>
    <row r="181" customFormat="false" ht="15" hidden="false" customHeight="true" outlineLevel="0" collapsed="false">
      <c r="B181" s="7" t="s">
        <v>148</v>
      </c>
      <c r="D181" s="18" t="n">
        <v>2377.613</v>
      </c>
      <c r="E181" s="18" t="n">
        <v>3628.606</v>
      </c>
      <c r="F181" s="27" t="n">
        <f aca="false">E181</f>
        <v>3628.606</v>
      </c>
      <c r="G181" s="27" t="n">
        <f aca="false">F181</f>
        <v>3628.606</v>
      </c>
      <c r="H181" s="27" t="n">
        <f aca="false">G181</f>
        <v>3628.606</v>
      </c>
      <c r="I181" s="27" t="n">
        <f aca="false">H181</f>
        <v>3628.606</v>
      </c>
      <c r="J181" s="27" t="n">
        <f aca="false">I181</f>
        <v>3628.606</v>
      </c>
    </row>
    <row r="183" customFormat="false" ht="15" hidden="false" customHeight="true" outlineLevel="0" collapsed="false">
      <c r="B183" s="3" t="s">
        <v>203</v>
      </c>
    </row>
    <row r="184" customFormat="false" ht="15" hidden="false" customHeight="true" outlineLevel="0" collapsed="false">
      <c r="B184" s="7" t="s">
        <v>204</v>
      </c>
      <c r="D184" s="18" t="n">
        <v>38266.43218224</v>
      </c>
      <c r="E184" s="18" t="n">
        <v>42382.6673233975</v>
      </c>
      <c r="F184" s="27" t="n">
        <f aca="false">AVERAGE(E177,F177)</f>
        <v>45408.2180912954</v>
      </c>
      <c r="G184" s="27" t="n">
        <f aca="false">AVERAGE(F177,G177)</f>
        <v>48595.325793595</v>
      </c>
      <c r="H184" s="27" t="n">
        <f aca="false">AVERAGE(G177,H177)</f>
        <v>51637.088059177</v>
      </c>
      <c r="I184" s="27" t="n">
        <f aca="false">AVERAGE(H177,I177)</f>
        <v>54604.7873742294</v>
      </c>
      <c r="J184" s="27" t="n">
        <f aca="false">AVERAGE(I177,J177)</f>
        <v>57464.6865302065</v>
      </c>
      <c r="L184" s="16" t="s">
        <v>205</v>
      </c>
    </row>
    <row r="185" customFormat="false" ht="15" hidden="false" customHeight="true" outlineLevel="0" collapsed="false">
      <c r="B185" s="7" t="s">
        <v>206</v>
      </c>
      <c r="D185" s="18" t="n">
        <v>39014.55619591</v>
      </c>
      <c r="E185" s="18" t="n">
        <v>43125.0458839325</v>
      </c>
      <c r="F185" s="27" t="n">
        <f aca="false">AVERAGE(E175,F175)</f>
        <v>46161.8363523823</v>
      </c>
      <c r="G185" s="27" t="n">
        <f aca="false">AVERAGE(F175,G175)</f>
        <v>49384.8223965034</v>
      </c>
      <c r="H185" s="27" t="n">
        <f aca="false">AVERAGE(G175,H175)</f>
        <v>52467.4875814474</v>
      </c>
      <c r="I185" s="27" t="n">
        <f aca="false">AVERAGE(H175,I175)</f>
        <v>55480.5476692557</v>
      </c>
      <c r="J185" s="27" t="n">
        <f aca="false">AVERAGE(I175,J175)</f>
        <v>58389.564219797</v>
      </c>
    </row>
    <row r="186" customFormat="false" ht="15" hidden="false" customHeight="true" outlineLevel="0" collapsed="false">
      <c r="B186" s="7" t="s">
        <v>207</v>
      </c>
      <c r="D186" s="18" t="n">
        <v>15900.759620785</v>
      </c>
      <c r="E186" s="18" t="n">
        <v>18179.31597257</v>
      </c>
      <c r="F186" s="27" t="n">
        <f aca="false">AVERAGE(E178,F178)</f>
        <v>19681.28505</v>
      </c>
      <c r="G186" s="27" t="n">
        <f aca="false">AVERAGE(F178,G178)</f>
        <v>21030.858882</v>
      </c>
      <c r="H186" s="27" t="n">
        <f aca="false">AVERAGE(G178,H178)</f>
        <v>21764.87709396</v>
      </c>
      <c r="I186" s="27" t="n">
        <f aca="false">AVERAGE(H178,I178)</f>
        <v>22417.8234067788</v>
      </c>
      <c r="J186" s="27" t="n">
        <f aca="false">AVERAGE(I178,J178)</f>
        <v>23090.3581089822</v>
      </c>
    </row>
    <row r="187" customFormat="false" ht="15" hidden="false" customHeight="true" outlineLevel="0" collapsed="false">
      <c r="B187" s="7" t="s">
        <v>208</v>
      </c>
      <c r="D187" s="18" t="n">
        <v>60435.2500472</v>
      </c>
      <c r="E187" s="18" t="n">
        <v>63677.697633625</v>
      </c>
      <c r="F187" s="27" t="n">
        <f aca="false">AVERAGE(E179,F179)</f>
        <v>68207.6697</v>
      </c>
      <c r="G187" s="27" t="n">
        <f aca="false">AVERAGE(F179,G179)</f>
        <v>71268.696828</v>
      </c>
      <c r="H187" s="27" t="n">
        <f aca="false">AVERAGE(G179,H179)</f>
        <v>73937.77939548</v>
      </c>
      <c r="I187" s="27" t="n">
        <f aca="false">AVERAGE(H179,I179)</f>
        <v>76525.6016743218</v>
      </c>
      <c r="J187" s="27" t="n">
        <f aca="false">AVERAGE(I179,J179)</f>
        <v>79009.3933158888</v>
      </c>
    </row>
    <row r="188" customFormat="false" ht="15" hidden="false" customHeight="true" outlineLevel="0" collapsed="false">
      <c r="B188" s="7" t="s">
        <v>209</v>
      </c>
      <c r="D188" s="18" t="n">
        <v>3826.9474350875</v>
      </c>
      <c r="E188" s="18" t="n">
        <v>4984.105</v>
      </c>
      <c r="F188" s="27" t="n">
        <f aca="false">AVERAGE(E180,F180)</f>
        <v>5650.213</v>
      </c>
      <c r="G188" s="27" t="n">
        <f aca="false">AVERAGE(F180,G180)</f>
        <v>5700</v>
      </c>
      <c r="H188" s="27" t="n">
        <f aca="false">AVERAGE(G180,H180)</f>
        <v>5900</v>
      </c>
      <c r="I188" s="27" t="n">
        <f aca="false">AVERAGE(H180,I180)</f>
        <v>6050</v>
      </c>
      <c r="J188" s="27" t="n">
        <f aca="false">AVERAGE(I180,J180)</f>
        <v>6150</v>
      </c>
    </row>
    <row r="190" customFormat="false" ht="15" hidden="false" customHeight="true" outlineLevel="0" collapsed="false">
      <c r="B190" s="3" t="s">
        <v>210</v>
      </c>
    </row>
    <row r="191" customFormat="false" ht="15" hidden="false" customHeight="true" outlineLevel="0" collapsed="false">
      <c r="B191" s="7" t="s">
        <v>211</v>
      </c>
      <c r="C191" s="7" t="s">
        <v>50</v>
      </c>
      <c r="D191" s="25" t="n">
        <f aca="false">D198/D184</f>
        <v>0.0535390438487457</v>
      </c>
      <c r="E191" s="25" t="n">
        <f aca="false">E198/E184</f>
        <v>0.0424475684152336</v>
      </c>
      <c r="F191" s="25" t="n">
        <f aca="false">F$13</f>
        <v>0.0415</v>
      </c>
      <c r="G191" s="25" t="n">
        <f aca="false">G$13</f>
        <v>0.0405</v>
      </c>
      <c r="H191" s="25" t="n">
        <f aca="false">H$13</f>
        <v>0.041</v>
      </c>
      <c r="I191" s="25" t="n">
        <f aca="false">I$13</f>
        <v>0.0415</v>
      </c>
      <c r="J191" s="25" t="n">
        <f aca="false">J$13</f>
        <v>0.042</v>
      </c>
    </row>
    <row r="192" customFormat="false" ht="15" hidden="false" customHeight="true" outlineLevel="0" collapsed="false">
      <c r="B192" s="7" t="s">
        <v>56</v>
      </c>
      <c r="C192" s="7" t="s">
        <v>50</v>
      </c>
      <c r="D192" s="25" t="n">
        <f aca="false">D199/D186</f>
        <v>0.0267259855903048</v>
      </c>
      <c r="E192" s="25" t="n">
        <f aca="false">E199/E186</f>
        <v>0.0282102150220507</v>
      </c>
      <c r="F192" s="25" t="n">
        <f aca="false">F$14</f>
        <v>0.0305</v>
      </c>
      <c r="G192" s="25" t="n">
        <f aca="false">G$14</f>
        <v>0.03</v>
      </c>
      <c r="H192" s="25" t="n">
        <f aca="false">H$14</f>
        <v>0.0305</v>
      </c>
      <c r="I192" s="25" t="n">
        <f aca="false">I$14</f>
        <v>0.031</v>
      </c>
      <c r="J192" s="25" t="n">
        <f aca="false">J$14</f>
        <v>0.0315</v>
      </c>
    </row>
    <row r="193" customFormat="false" ht="15" hidden="false" customHeight="true" outlineLevel="0" collapsed="false">
      <c r="B193" s="7" t="s">
        <v>57</v>
      </c>
      <c r="C193" s="7" t="s">
        <v>50</v>
      </c>
      <c r="D193" s="25" t="n">
        <f aca="false">-D204/D187</f>
        <v>0.00542703245694928</v>
      </c>
      <c r="E193" s="25" t="n">
        <f aca="false">-E204/E187</f>
        <v>0.00429162405230704</v>
      </c>
      <c r="F193" s="25" t="n">
        <f aca="false">F$15</f>
        <v>0.0038</v>
      </c>
      <c r="G193" s="25" t="n">
        <f aca="false">G$15</f>
        <v>0.004</v>
      </c>
      <c r="H193" s="25" t="n">
        <f aca="false">H$15</f>
        <v>0.0044</v>
      </c>
      <c r="I193" s="25" t="n">
        <f aca="false">I$15</f>
        <v>0.0047</v>
      </c>
      <c r="J193" s="25" t="n">
        <f aca="false">J$15</f>
        <v>0.0048</v>
      </c>
    </row>
    <row r="194" customFormat="false" ht="15" hidden="false" customHeight="true" outlineLevel="0" collapsed="false">
      <c r="B194" s="7" t="s">
        <v>59</v>
      </c>
      <c r="C194" s="7" t="s">
        <v>50</v>
      </c>
      <c r="D194" s="25" t="n">
        <f aca="false">-D205/D188</f>
        <v>0.0596718512975287</v>
      </c>
      <c r="E194" s="25" t="n">
        <f aca="false">-E205/E188</f>
        <v>0.0536217908150009</v>
      </c>
      <c r="F194" s="25" t="n">
        <f aca="false">F$16</f>
        <v>0.043</v>
      </c>
      <c r="G194" s="25" t="n">
        <f aca="false">G$16</f>
        <v>0.042</v>
      </c>
      <c r="H194" s="25" t="n">
        <f aca="false">H$16</f>
        <v>0.0415</v>
      </c>
      <c r="I194" s="25" t="n">
        <f aca="false">I$16</f>
        <v>0.0415</v>
      </c>
      <c r="J194" s="25" t="n">
        <f aca="false">J$16</f>
        <v>0.0415</v>
      </c>
    </row>
    <row r="195" customFormat="false" ht="32.25" hidden="false" customHeight="true" outlineLevel="0" collapsed="false">
      <c r="B195" s="7" t="s">
        <v>212</v>
      </c>
      <c r="C195" s="7" t="s">
        <v>50</v>
      </c>
      <c r="D195" s="26" t="n">
        <f aca="false">IFERROR(D193/D$9,0)</f>
        <v>0.1517202252432</v>
      </c>
      <c r="E195" s="26" t="n">
        <f aca="false">IFERROR(E193/E$9,0)</f>
        <v>0.177633445873636</v>
      </c>
      <c r="F195" s="26" t="n">
        <f aca="false">IFERROR(F193/F$9,0)</f>
        <v>0.185365853658537</v>
      </c>
      <c r="G195" s="26" t="n">
        <f aca="false">IFERROR(G193/G$9,0)</f>
        <v>0.2</v>
      </c>
      <c r="H195" s="26" t="n">
        <f aca="false">IFERROR(H193/H$9,0)</f>
        <v>0.20952380952381</v>
      </c>
      <c r="I195" s="26" t="n">
        <f aca="false">IFERROR(I193/I$9,0)</f>
        <v>0.213636363636364</v>
      </c>
      <c r="J195" s="26" t="n">
        <f aca="false">IFERROR(J193/J$9,0)</f>
        <v>0.213333333333333</v>
      </c>
      <c r="L195" s="16" t="s">
        <v>213</v>
      </c>
    </row>
    <row r="197" customFormat="false" ht="15" hidden="false" customHeight="true" outlineLevel="0" collapsed="false">
      <c r="B197" s="3" t="s">
        <v>105</v>
      </c>
    </row>
    <row r="198" customFormat="false" ht="15" hidden="false" customHeight="true" outlineLevel="0" collapsed="false">
      <c r="B198" s="7" t="s">
        <v>214</v>
      </c>
      <c r="D198" s="19" t="n">
        <v>2048.74819054</v>
      </c>
      <c r="E198" s="19" t="n">
        <v>1799.04117083</v>
      </c>
      <c r="F198" s="22" t="n">
        <f aca="false">F184*F191</f>
        <v>1884.44105078876</v>
      </c>
      <c r="G198" s="22" t="n">
        <f aca="false">G184*G191</f>
        <v>1968.1106946406</v>
      </c>
      <c r="H198" s="22" t="n">
        <f aca="false">H184*H191</f>
        <v>2117.12061042626</v>
      </c>
      <c r="I198" s="22" t="n">
        <f aca="false">I184*I191</f>
        <v>2266.09867603052</v>
      </c>
      <c r="J198" s="22" t="n">
        <f aca="false">J184*J191</f>
        <v>2413.51683426867</v>
      </c>
    </row>
    <row r="199" customFormat="false" ht="15" hidden="false" customHeight="true" outlineLevel="0" collapsed="false">
      <c r="B199" s="7" t="s">
        <v>215</v>
      </c>
      <c r="D199" s="19" t="n">
        <v>424.9634725</v>
      </c>
      <c r="E199" s="19" t="n">
        <v>512.84241254</v>
      </c>
      <c r="F199" s="22" t="n">
        <f aca="false">F186*F192</f>
        <v>600.279194025</v>
      </c>
      <c r="G199" s="22" t="n">
        <f aca="false">G186*G192</f>
        <v>630.92576646</v>
      </c>
      <c r="H199" s="22" t="n">
        <f aca="false">H186*H192</f>
        <v>663.82875136578</v>
      </c>
      <c r="I199" s="22" t="n">
        <f aca="false">I186*I192</f>
        <v>694.952525610143</v>
      </c>
      <c r="J199" s="22" t="n">
        <f aca="false">J186*J192</f>
        <v>727.346280432938</v>
      </c>
    </row>
    <row r="200" customFormat="false" ht="15" hidden="false" customHeight="true" outlineLevel="0" collapsed="false">
      <c r="B200" s="7" t="s">
        <v>216</v>
      </c>
      <c r="D200" s="19" t="n">
        <v>634.4383586</v>
      </c>
      <c r="E200" s="19" t="n">
        <v>357.77411057</v>
      </c>
      <c r="F200" s="22" t="n">
        <f aca="false">E200*0.95</f>
        <v>339.8854050415</v>
      </c>
      <c r="G200" s="22" t="n">
        <f aca="false">F200*0.95</f>
        <v>322.891134789425</v>
      </c>
      <c r="H200" s="22" t="n">
        <f aca="false">G200*0.95</f>
        <v>306.746578049954</v>
      </c>
      <c r="I200" s="22" t="n">
        <f aca="false">H200*0.95</f>
        <v>291.409249147456</v>
      </c>
      <c r="J200" s="22" t="n">
        <f aca="false">I200*0.95</f>
        <v>276.838786690083</v>
      </c>
    </row>
    <row r="201" customFormat="false" ht="15" hidden="false" customHeight="true" outlineLevel="0" collapsed="false">
      <c r="B201" s="3" t="s">
        <v>217</v>
      </c>
      <c r="D201" s="23" t="n">
        <f aca="false">SUM(D198:D200)</f>
        <v>3108.15002164</v>
      </c>
      <c r="E201" s="23" t="n">
        <f aca="false">SUM(E198:E200)</f>
        <v>2669.65769394</v>
      </c>
      <c r="F201" s="23" t="n">
        <f aca="false">SUM(F198:F200)</f>
        <v>2824.60564985526</v>
      </c>
      <c r="G201" s="23" t="n">
        <f aca="false">SUM(G198:G200)</f>
        <v>2921.92759589002</v>
      </c>
      <c r="H201" s="23" t="n">
        <f aca="false">SUM(H198:H200)</f>
        <v>3087.69593984199</v>
      </c>
      <c r="I201" s="23" t="n">
        <f aca="false">SUM(I198:I200)</f>
        <v>3252.46045078812</v>
      </c>
      <c r="J201" s="23" t="n">
        <f aca="false">SUM(J198:J200)</f>
        <v>3417.70190139169</v>
      </c>
    </row>
    <row r="203" customFormat="false" ht="15" hidden="false" customHeight="true" outlineLevel="0" collapsed="false">
      <c r="B203" s="3" t="s">
        <v>107</v>
      </c>
    </row>
    <row r="204" customFormat="false" ht="21.75" hidden="false" customHeight="true" outlineLevel="0" collapsed="false">
      <c r="B204" s="7" t="s">
        <v>218</v>
      </c>
      <c r="D204" s="19" t="n">
        <v>-327.98406355</v>
      </c>
      <c r="E204" s="19" t="n">
        <v>-273.28073876</v>
      </c>
      <c r="F204" s="22" t="n">
        <f aca="false">-F187*F193</f>
        <v>-259.18914486</v>
      </c>
      <c r="G204" s="22" t="n">
        <f aca="false">-G187*G193</f>
        <v>-285.074787312</v>
      </c>
      <c r="H204" s="22" t="n">
        <f aca="false">-H187*H193</f>
        <v>-325.326229340112</v>
      </c>
      <c r="I204" s="22" t="n">
        <f aca="false">-I187*I193</f>
        <v>-359.670327869312</v>
      </c>
      <c r="J204" s="22" t="n">
        <f aca="false">-J187*J193</f>
        <v>-379.245087916266</v>
      </c>
      <c r="L204" s="16" t="s">
        <v>219</v>
      </c>
    </row>
    <row r="205" customFormat="false" ht="15" hidden="false" customHeight="true" outlineLevel="0" collapsed="false">
      <c r="B205" s="7" t="s">
        <v>220</v>
      </c>
      <c r="D205" s="19" t="n">
        <v>-228.36103827</v>
      </c>
      <c r="E205" s="19" t="n">
        <v>-267.25663571</v>
      </c>
      <c r="F205" s="22" t="n">
        <f aca="false">-F188*F194</f>
        <v>-242.959159</v>
      </c>
      <c r="G205" s="22" t="n">
        <f aca="false">-G188*G194</f>
        <v>-239.4</v>
      </c>
      <c r="H205" s="22" t="n">
        <f aca="false">-H188*H194</f>
        <v>-244.85</v>
      </c>
      <c r="I205" s="22" t="n">
        <f aca="false">-I188*I194</f>
        <v>-251.075</v>
      </c>
      <c r="J205" s="22" t="n">
        <f aca="false">-J188*J194</f>
        <v>-255.225</v>
      </c>
    </row>
    <row r="206" customFormat="false" ht="15" hidden="false" customHeight="true" outlineLevel="0" collapsed="false">
      <c r="B206" s="7" t="s">
        <v>221</v>
      </c>
      <c r="D206" s="19" t="n">
        <v>-234.07321542</v>
      </c>
      <c r="E206" s="19" t="n">
        <v>-95.54549202</v>
      </c>
      <c r="F206" s="22" t="n">
        <f aca="false">-F181*F$9</f>
        <v>-74.386423</v>
      </c>
      <c r="G206" s="22" t="n">
        <f aca="false">-G181*G$9</f>
        <v>-72.57212</v>
      </c>
      <c r="H206" s="22" t="n">
        <f aca="false">-H181*H$9</f>
        <v>-76.200726</v>
      </c>
      <c r="I206" s="22" t="n">
        <f aca="false">-I181*I$9</f>
        <v>-79.829332</v>
      </c>
      <c r="J206" s="22" t="n">
        <f aca="false">-J181*J$9</f>
        <v>-81.643635</v>
      </c>
    </row>
    <row r="207" customFormat="false" ht="15" hidden="false" customHeight="true" outlineLevel="0" collapsed="false">
      <c r="B207" s="7" t="s">
        <v>222</v>
      </c>
      <c r="D207" s="19" t="n">
        <v>-229.52500712</v>
      </c>
      <c r="E207" s="19" t="n">
        <v>-130.97485053</v>
      </c>
      <c r="F207" s="22" t="n">
        <f aca="false">E207</f>
        <v>-130.97485053</v>
      </c>
      <c r="G207" s="22" t="n">
        <f aca="false">F207</f>
        <v>-130.97485053</v>
      </c>
      <c r="H207" s="22" t="n">
        <f aca="false">G207</f>
        <v>-130.97485053</v>
      </c>
      <c r="I207" s="22" t="n">
        <f aca="false">H207</f>
        <v>-130.97485053</v>
      </c>
      <c r="J207" s="22" t="n">
        <f aca="false">I207</f>
        <v>-130.97485053</v>
      </c>
    </row>
    <row r="208" customFormat="false" ht="15" hidden="false" customHeight="true" outlineLevel="0" collapsed="false">
      <c r="B208" s="3" t="s">
        <v>223</v>
      </c>
      <c r="D208" s="23" t="n">
        <f aca="false">SUM(D204:D207)</f>
        <v>-1019.94332436</v>
      </c>
      <c r="E208" s="23" t="n">
        <f aca="false">SUM(E204:E207)</f>
        <v>-767.05771702</v>
      </c>
      <c r="F208" s="23" t="n">
        <f aca="false">SUM(F204:F207)</f>
        <v>-707.50957739</v>
      </c>
      <c r="G208" s="23" t="n">
        <f aca="false">SUM(G204:G207)</f>
        <v>-728.021757842</v>
      </c>
      <c r="H208" s="23" t="n">
        <f aca="false">SUM(H204:H207)</f>
        <v>-777.351805870112</v>
      </c>
      <c r="I208" s="23" t="n">
        <f aca="false">SUM(I204:I207)</f>
        <v>-821.549510399313</v>
      </c>
      <c r="J208" s="23" t="n">
        <f aca="false">SUM(J204:J207)</f>
        <v>-847.088573446266</v>
      </c>
    </row>
    <row r="210" customFormat="false" ht="15" hidden="false" customHeight="true" outlineLevel="0" collapsed="false">
      <c r="B210" s="3" t="s">
        <v>108</v>
      </c>
      <c r="D210" s="24" t="n">
        <f aca="false">D201+D208</f>
        <v>2088.20669728</v>
      </c>
      <c r="E210" s="24" t="n">
        <f aca="false">E201+E208</f>
        <v>1902.59997692</v>
      </c>
      <c r="F210" s="24" t="n">
        <f aca="false">F201+F208</f>
        <v>2117.09607246526</v>
      </c>
      <c r="G210" s="24" t="n">
        <f aca="false">G201+G208</f>
        <v>2193.90583804802</v>
      </c>
      <c r="H210" s="24" t="n">
        <f aca="false">H201+H208</f>
        <v>2310.34413397188</v>
      </c>
      <c r="I210" s="24" t="n">
        <f aca="false">I201+I208</f>
        <v>2430.91094038881</v>
      </c>
      <c r="J210" s="24" t="n">
        <f aca="false">J201+J208</f>
        <v>2570.61332794543</v>
      </c>
    </row>
    <row r="211" customFormat="false" ht="15" hidden="false" customHeight="true" outlineLevel="0" collapsed="false">
      <c r="B211" s="7" t="s">
        <v>224</v>
      </c>
      <c r="D211" s="27" t="n">
        <f aca="false">D184+D186</f>
        <v>54167.191803025</v>
      </c>
      <c r="E211" s="27" t="n">
        <f aca="false">E184+E186</f>
        <v>60561.9832959675</v>
      </c>
      <c r="F211" s="27" t="n">
        <f aca="false">F184+F186</f>
        <v>65089.5031412954</v>
      </c>
      <c r="G211" s="27" t="n">
        <f aca="false">G184+G186</f>
        <v>69626.184675595</v>
      </c>
      <c r="H211" s="27" t="n">
        <f aca="false">H184+H186</f>
        <v>73401.965153137</v>
      </c>
      <c r="I211" s="27" t="n">
        <f aca="false">I184+I186</f>
        <v>77022.6107810082</v>
      </c>
      <c r="J211" s="27" t="n">
        <f aca="false">J184+J186</f>
        <v>80555.0446391886</v>
      </c>
    </row>
    <row r="212" customFormat="false" ht="15" hidden="false" customHeight="true" outlineLevel="0" collapsed="false">
      <c r="B212" s="3" t="s">
        <v>127</v>
      </c>
      <c r="C212" s="7" t="s">
        <v>50</v>
      </c>
      <c r="D212" s="34" t="n">
        <f aca="false">D210/D211</f>
        <v>0.0385511345109713</v>
      </c>
      <c r="E212" s="34" t="n">
        <f aca="false">E210/E211</f>
        <v>0.0314157475263312</v>
      </c>
      <c r="F212" s="34" t="n">
        <f aca="false">F210/F211</f>
        <v>0.0325259215432863</v>
      </c>
      <c r="G212" s="34" t="n">
        <f aca="false">G210/G211</f>
        <v>0.0315097811013192</v>
      </c>
      <c r="H212" s="34" t="n">
        <f aca="false">H210/H211</f>
        <v>0.0314752354266246</v>
      </c>
      <c r="I212" s="34" t="n">
        <f aca="false">I210/I211</f>
        <v>0.0315610041744808</v>
      </c>
      <c r="J212" s="34" t="n">
        <f aca="false">J210/J211</f>
        <v>0.0319112643964059</v>
      </c>
    </row>
    <row r="215" customFormat="false" ht="21.75" hidden="false" customHeight="true" outlineLevel="0" collapsed="false">
      <c r="B215" s="2" t="s">
        <v>225</v>
      </c>
      <c r="C215" s="2"/>
      <c r="D215" s="2"/>
      <c r="E215" s="2"/>
      <c r="F215" s="2"/>
      <c r="G215" s="2"/>
      <c r="H215" s="2"/>
      <c r="I215" s="2"/>
      <c r="J215" s="2"/>
    </row>
    <row r="217" customFormat="false" ht="15" hidden="false" customHeight="true" outlineLevel="0" collapsed="false">
      <c r="B217" s="12" t="s">
        <v>44</v>
      </c>
      <c r="D217" s="13" t="n">
        <f aca="false">+D$5</f>
        <v>2024</v>
      </c>
      <c r="E217" s="13" t="n">
        <f aca="false">+E$5</f>
        <v>2025</v>
      </c>
      <c r="F217" s="13" t="n">
        <f aca="false">+F$5</f>
        <v>2026</v>
      </c>
      <c r="G217" s="13" t="n">
        <f aca="false">+G$5</f>
        <v>2027</v>
      </c>
      <c r="H217" s="13" t="n">
        <f aca="false">+H$5</f>
        <v>2028</v>
      </c>
      <c r="I217" s="13" t="n">
        <f aca="false">+I$5</f>
        <v>2029</v>
      </c>
      <c r="J217" s="13" t="n">
        <f aca="false">+J$5</f>
        <v>2030</v>
      </c>
    </row>
    <row r="219" customFormat="false" ht="15" hidden="false" customHeight="true" outlineLevel="0" collapsed="false">
      <c r="B219" s="3" t="s">
        <v>226</v>
      </c>
    </row>
    <row r="220" customFormat="false" ht="15" hidden="false" customHeight="true" outlineLevel="0" collapsed="false">
      <c r="B220" s="7" t="s">
        <v>227</v>
      </c>
      <c r="D220" s="19" t="n">
        <v>784</v>
      </c>
      <c r="E220" s="22" t="n">
        <f aca="false">D223</f>
        <v>691</v>
      </c>
      <c r="F220" s="22" t="n">
        <f aca="false">E223</f>
        <v>737</v>
      </c>
      <c r="G220" s="22" t="n">
        <f aca="false">F223</f>
        <v>770.236522173715</v>
      </c>
      <c r="H220" s="22" t="n">
        <f aca="false">G223</f>
        <v>808.756683642988</v>
      </c>
      <c r="I220" s="22" t="n">
        <f aca="false">H223</f>
        <v>852.042360897682</v>
      </c>
      <c r="J220" s="22" t="n">
        <f aca="false">I223</f>
        <v>899.478229154896</v>
      </c>
    </row>
    <row r="221" customFormat="false" ht="21.75" hidden="false" customHeight="true" outlineLevel="0" collapsed="false">
      <c r="B221" s="7" t="s">
        <v>228</v>
      </c>
      <c r="D221" s="19" t="n">
        <v>280.6</v>
      </c>
      <c r="E221" s="19" t="n">
        <v>288.8</v>
      </c>
      <c r="F221" s="22" t="n">
        <f aca="false">F185*F$21/10000</f>
        <v>221.576814491435</v>
      </c>
      <c r="G221" s="22" t="n">
        <f aca="false">G185*G$21/10000</f>
        <v>256.801076461818</v>
      </c>
      <c r="H221" s="22" t="n">
        <f aca="false">H185*H$21/10000</f>
        <v>288.57118169796</v>
      </c>
      <c r="I221" s="22" t="n">
        <f aca="false">I185*I$21/10000</f>
        <v>316.239121714758</v>
      </c>
      <c r="J221" s="22" t="n">
        <f aca="false">J185*J$21/10000</f>
        <v>338.659472474823</v>
      </c>
      <c r="L221" s="16" t="s">
        <v>229</v>
      </c>
    </row>
    <row r="222" customFormat="false" ht="15" hidden="false" customHeight="true" outlineLevel="0" collapsed="false">
      <c r="B222" s="7" t="s">
        <v>230</v>
      </c>
      <c r="D222" s="22" t="n">
        <f aca="false">D223-D220-D221</f>
        <v>-373.6</v>
      </c>
      <c r="E222" s="22" t="n">
        <f aca="false">E223-E220-E221</f>
        <v>-242.8</v>
      </c>
      <c r="F222" s="22" t="n">
        <f aca="false">-F221*0.85</f>
        <v>-188.34029231772</v>
      </c>
      <c r="G222" s="22" t="n">
        <f aca="false">-G221*0.85</f>
        <v>-218.280914992545</v>
      </c>
      <c r="H222" s="22" t="n">
        <f aca="false">-H221*0.85</f>
        <v>-245.285504443266</v>
      </c>
      <c r="I222" s="22" t="n">
        <f aca="false">-I221*0.85</f>
        <v>-268.803253457544</v>
      </c>
      <c r="J222" s="22" t="n">
        <f aca="false">-J221*0.85</f>
        <v>-287.860551603599</v>
      </c>
    </row>
    <row r="223" customFormat="false" ht="15" hidden="false" customHeight="true" outlineLevel="0" collapsed="false">
      <c r="B223" s="3" t="s">
        <v>231</v>
      </c>
      <c r="D223" s="35" t="n">
        <v>691</v>
      </c>
      <c r="E223" s="35" t="n">
        <v>737</v>
      </c>
      <c r="F223" s="23" t="n">
        <f aca="false">SUM(F220:F222)</f>
        <v>770.236522173715</v>
      </c>
      <c r="G223" s="23" t="n">
        <f aca="false">SUM(G220:G222)</f>
        <v>808.756683642988</v>
      </c>
      <c r="H223" s="23" t="n">
        <f aca="false">SUM(H220:H222)</f>
        <v>852.042360897682</v>
      </c>
      <c r="I223" s="23" t="n">
        <f aca="false">SUM(I220:I222)</f>
        <v>899.478229154896</v>
      </c>
      <c r="J223" s="23" t="n">
        <f aca="false">SUM(J220:J222)</f>
        <v>950.277150026119</v>
      </c>
    </row>
    <row r="225" customFormat="false" ht="15" hidden="false" customHeight="true" outlineLevel="0" collapsed="false">
      <c r="B225" s="3" t="s">
        <v>232</v>
      </c>
    </row>
    <row r="226" customFormat="false" ht="15" hidden="false" customHeight="true" outlineLevel="0" collapsed="false">
      <c r="B226" s="3" t="s">
        <v>64</v>
      </c>
      <c r="C226" s="7" t="s">
        <v>65</v>
      </c>
      <c r="D226" s="36" t="n">
        <f aca="false">D221/D185*10000</f>
        <v>71.921874131024</v>
      </c>
      <c r="E226" s="36" t="n">
        <f aca="false">E221/E185*10000</f>
        <v>66.9680446896872</v>
      </c>
      <c r="F226" s="36" t="n">
        <f aca="false">F221/F185*10000</f>
        <v>48</v>
      </c>
      <c r="G226" s="36" t="n">
        <f aca="false">G221/G185*10000</f>
        <v>52</v>
      </c>
      <c r="H226" s="36" t="n">
        <f aca="false">H221/H185*10000</f>
        <v>55</v>
      </c>
      <c r="I226" s="36" t="n">
        <f aca="false">I221/I185*10000</f>
        <v>57</v>
      </c>
      <c r="J226" s="36" t="n">
        <f aca="false">J221/J185*10000</f>
        <v>58</v>
      </c>
    </row>
    <row r="227" customFormat="false" ht="15" hidden="false" customHeight="true" outlineLevel="0" collapsed="false">
      <c r="B227" s="7" t="s">
        <v>233</v>
      </c>
      <c r="C227" s="7" t="s">
        <v>50</v>
      </c>
      <c r="D227" s="25" t="n">
        <f aca="false">D223/D175</f>
        <v>0.0166805847914019</v>
      </c>
      <c r="E227" s="25" t="n">
        <f aca="false">E223/E175</f>
        <v>0.0165642782094508</v>
      </c>
      <c r="F227" s="25" t="n">
        <f aca="false">F223/F175</f>
        <v>0.0161035146134426</v>
      </c>
      <c r="G227" s="25" t="n">
        <f aca="false">G223/G175</f>
        <v>0.0158768681816363</v>
      </c>
      <c r="H227" s="25" t="n">
        <f aca="false">H223/H175</f>
        <v>0.0157798284732418</v>
      </c>
      <c r="I227" s="25" t="n">
        <f aca="false">I223/I175</f>
        <v>0.0157898966571012</v>
      </c>
      <c r="J227" s="25" t="n">
        <f aca="false">J223/J175</f>
        <v>0.0158872825305726</v>
      </c>
    </row>
    <row r="228" customFormat="false" ht="15" hidden="false" customHeight="true" outlineLevel="0" collapsed="false">
      <c r="B228" s="7" t="s">
        <v>234</v>
      </c>
      <c r="C228" s="7" t="s">
        <v>50</v>
      </c>
      <c r="D228" s="25" t="n">
        <f aca="false">-D222/D185</f>
        <v>0.00957591310596955</v>
      </c>
      <c r="E228" s="25" t="n">
        <f aca="false">-E222/E185</f>
        <v>0.00563013893720777</v>
      </c>
      <c r="F228" s="25" t="n">
        <f aca="false">-F222/F185</f>
        <v>0.00408</v>
      </c>
      <c r="G228" s="25" t="n">
        <f aca="false">-G222/G185</f>
        <v>0.00442</v>
      </c>
      <c r="H228" s="25" t="n">
        <f aca="false">-H222/H185</f>
        <v>0.004675</v>
      </c>
      <c r="I228" s="25" t="n">
        <f aca="false">-I222/I185</f>
        <v>0.004845</v>
      </c>
      <c r="J228" s="25" t="n">
        <f aca="false">-J222/J185</f>
        <v>0.00493</v>
      </c>
    </row>
    <row r="231" customFormat="false" ht="21.75" hidden="false" customHeight="true" outlineLevel="0" collapsed="false">
      <c r="B231" s="2" t="s">
        <v>30</v>
      </c>
      <c r="C231" s="2"/>
      <c r="D231" s="2"/>
      <c r="E231" s="2"/>
      <c r="F231" s="2"/>
      <c r="G231" s="2"/>
      <c r="H231" s="2"/>
      <c r="I231" s="2"/>
      <c r="J231" s="2"/>
    </row>
    <row r="233" customFormat="false" ht="15" hidden="false" customHeight="true" outlineLevel="0" collapsed="false">
      <c r="B233" s="12" t="s">
        <v>44</v>
      </c>
      <c r="D233" s="13" t="n">
        <f aca="false">+D$5</f>
        <v>2024</v>
      </c>
      <c r="E233" s="13" t="n">
        <f aca="false">+E$5</f>
        <v>2025</v>
      </c>
      <c r="F233" s="13" t="n">
        <f aca="false">+F$5</f>
        <v>2026</v>
      </c>
      <c r="G233" s="13" t="n">
        <f aca="false">+G$5</f>
        <v>2027</v>
      </c>
      <c r="H233" s="13" t="n">
        <f aca="false">+H$5</f>
        <v>2028</v>
      </c>
      <c r="I233" s="13" t="n">
        <f aca="false">+I$5</f>
        <v>2029</v>
      </c>
      <c r="J233" s="13" t="n">
        <f aca="false">+J$5</f>
        <v>2030</v>
      </c>
    </row>
    <row r="235" customFormat="false" ht="15" hidden="false" customHeight="true" outlineLevel="0" collapsed="false">
      <c r="B235" s="3" t="s">
        <v>235</v>
      </c>
    </row>
    <row r="236" customFormat="false" ht="15" hidden="false" customHeight="true" outlineLevel="0" collapsed="false">
      <c r="B236" s="3" t="s">
        <v>235</v>
      </c>
      <c r="D236" s="18" t="n">
        <v>34098</v>
      </c>
      <c r="E236" s="18" t="n">
        <v>36025</v>
      </c>
      <c r="F236" s="30" t="n">
        <f aca="false">F177*F$36</f>
        <v>36706.877952678</v>
      </c>
      <c r="G236" s="30" t="n">
        <f aca="false">G177*G$36</f>
        <v>38851.177527091</v>
      </c>
      <c r="H236" s="30" t="n">
        <f aca="false">H177*H$36</f>
        <v>40920.590842281</v>
      </c>
      <c r="I236" s="30" t="n">
        <f aca="false">I177*I$36</f>
        <v>42890.4519626425</v>
      </c>
      <c r="J236" s="30" t="n">
        <f aca="false">J177*J$36</f>
        <v>44736.2013146611</v>
      </c>
    </row>
    <row r="237" customFormat="false" ht="15" hidden="false" customHeight="true" outlineLevel="0" collapsed="false">
      <c r="B237" s="7" t="s">
        <v>236</v>
      </c>
      <c r="C237" s="7" t="s">
        <v>50</v>
      </c>
      <c r="D237" s="26" t="n">
        <f aca="false">D236/D102</f>
        <v>0.837081062740148</v>
      </c>
      <c r="E237" s="26" t="n">
        <f aca="false">E236/E102</f>
        <v>0.823309332840889</v>
      </c>
      <c r="F237" s="26" t="n">
        <f aca="false">F236/F102</f>
        <v>0.78</v>
      </c>
      <c r="G237" s="26" t="n">
        <f aca="false">G236/G102</f>
        <v>0.775</v>
      </c>
      <c r="H237" s="26" t="n">
        <f aca="false">H236/H102</f>
        <v>0.77</v>
      </c>
      <c r="I237" s="26" t="n">
        <f aca="false">I236/I102</f>
        <v>0.765</v>
      </c>
      <c r="J237" s="26" t="n">
        <f aca="false">J236/J102</f>
        <v>0.76</v>
      </c>
    </row>
    <row r="239" customFormat="false" ht="15" hidden="false" customHeight="true" outlineLevel="0" collapsed="false">
      <c r="B239" s="3" t="s">
        <v>237</v>
      </c>
    </row>
    <row r="240" customFormat="false" ht="15" hidden="false" customHeight="true" outlineLevel="0" collapsed="false">
      <c r="B240" s="7" t="s">
        <v>238</v>
      </c>
      <c r="D240" s="18" t="n">
        <v>4936</v>
      </c>
      <c r="E240" s="27" t="n">
        <f aca="false">D245</f>
        <v>4936</v>
      </c>
      <c r="F240" s="27" t="n">
        <f aca="false">E245</f>
        <v>4577</v>
      </c>
      <c r="G240" s="27" t="n">
        <f aca="false">F245</f>
        <v>4904.59477442094</v>
      </c>
      <c r="H240" s="27" t="n">
        <f aca="false">G245</f>
        <v>5244.90896615728</v>
      </c>
      <c r="I240" s="27" t="n">
        <f aca="false">H245</f>
        <v>5524.27976370793</v>
      </c>
      <c r="J240" s="27" t="n">
        <f aca="false">I245</f>
        <v>5790.21101495674</v>
      </c>
    </row>
    <row r="241" customFormat="false" ht="15" hidden="false" customHeight="true" outlineLevel="0" collapsed="false">
      <c r="B241" s="7" t="s">
        <v>239</v>
      </c>
      <c r="D241" s="22" t="n">
        <f aca="false">D122</f>
        <v>1012.90669728</v>
      </c>
      <c r="E241" s="22" t="n">
        <f aca="false">E122</f>
        <v>999.09997692</v>
      </c>
      <c r="F241" s="22" t="n">
        <f aca="false">F122</f>
        <v>1226.9645916766</v>
      </c>
      <c r="G241" s="22" t="n">
        <f aca="false">G122</f>
        <v>1267.69047204364</v>
      </c>
      <c r="H241" s="22" t="n">
        <f aca="false">H122</f>
        <v>1347.54056083214</v>
      </c>
      <c r="I241" s="22" t="n">
        <f aca="false">I122</f>
        <v>1430.18930352149</v>
      </c>
      <c r="J241" s="22" t="n">
        <f aca="false">J122</f>
        <v>1535.3025326965</v>
      </c>
    </row>
    <row r="242" customFormat="false" ht="15" hidden="false" customHeight="true" outlineLevel="0" collapsed="false">
      <c r="B242" s="7" t="s">
        <v>240</v>
      </c>
      <c r="D242" s="22" t="n">
        <f aca="false">-D254</f>
        <v>-373</v>
      </c>
      <c r="E242" s="22" t="n">
        <f aca="false">-E254</f>
        <v>-399</v>
      </c>
      <c r="F242" s="22" t="n">
        <f aca="false">-F254</f>
        <v>-699.369817255659</v>
      </c>
      <c r="G242" s="22" t="n">
        <f aca="false">-G254</f>
        <v>-727.376280307295</v>
      </c>
      <c r="H242" s="22" t="n">
        <f aca="false">-H254</f>
        <v>-868.169763281492</v>
      </c>
      <c r="I242" s="22" t="n">
        <f aca="false">-I254</f>
        <v>-964.258052272677</v>
      </c>
      <c r="J242" s="22" t="n">
        <f aca="false">-J254</f>
        <v>-1086.12637017399</v>
      </c>
    </row>
    <row r="243" customFormat="false" ht="15" hidden="false" customHeight="true" outlineLevel="0" collapsed="false">
      <c r="B243" s="7" t="s">
        <v>241</v>
      </c>
      <c r="D243" s="19" t="n">
        <v>-357</v>
      </c>
      <c r="E243" s="19" t="n">
        <v>-193</v>
      </c>
      <c r="F243" s="22" t="n">
        <f aca="false">-F$32*0.5</f>
        <v>-200</v>
      </c>
      <c r="G243" s="22" t="n">
        <f aca="false">-G$32*0.5</f>
        <v>-200</v>
      </c>
      <c r="H243" s="22" t="n">
        <f aca="false">-H$32*0.5</f>
        <v>-200</v>
      </c>
      <c r="I243" s="22" t="n">
        <f aca="false">-I$32*0.5</f>
        <v>-200</v>
      </c>
      <c r="J243" s="22" t="n">
        <f aca="false">-J$32*0.5</f>
        <v>-200</v>
      </c>
    </row>
    <row r="244" customFormat="false" ht="21.75" hidden="false" customHeight="true" outlineLevel="0" collapsed="false">
      <c r="B244" s="7" t="s">
        <v>242</v>
      </c>
      <c r="D244" s="19" t="n">
        <v>0</v>
      </c>
      <c r="E244" s="19" t="n">
        <v>-236</v>
      </c>
      <c r="F244" s="19" t="n">
        <v>0</v>
      </c>
      <c r="G244" s="19" t="n">
        <v>0</v>
      </c>
      <c r="H244" s="19" t="n">
        <v>0</v>
      </c>
      <c r="I244" s="19" t="n">
        <v>0</v>
      </c>
      <c r="J244" s="19" t="n">
        <v>0</v>
      </c>
      <c r="L244" s="16" t="s">
        <v>243</v>
      </c>
    </row>
    <row r="245" customFormat="false" ht="15" hidden="false" customHeight="true" outlineLevel="0" collapsed="false">
      <c r="B245" s="3" t="s">
        <v>244</v>
      </c>
      <c r="D245" s="31" t="n">
        <v>4936</v>
      </c>
      <c r="E245" s="31" t="n">
        <v>4577</v>
      </c>
      <c r="F245" s="30" t="n">
        <f aca="false">SUM(F240:F244)</f>
        <v>4904.59477442094</v>
      </c>
      <c r="G245" s="30" t="n">
        <f aca="false">SUM(G240:G244)</f>
        <v>5244.90896615728</v>
      </c>
      <c r="H245" s="30" t="n">
        <f aca="false">SUM(H240:H244)</f>
        <v>5524.27976370793</v>
      </c>
      <c r="I245" s="30" t="n">
        <f aca="false">SUM(I240:I244)</f>
        <v>5790.21101495674</v>
      </c>
      <c r="J245" s="30" t="n">
        <f aca="false">SUM(J240:J244)</f>
        <v>6039.38717747925</v>
      </c>
    </row>
    <row r="246" customFormat="false" ht="15" hidden="false" customHeight="true" outlineLevel="0" collapsed="false">
      <c r="B246" s="3" t="s">
        <v>245</v>
      </c>
      <c r="C246" s="7" t="s">
        <v>50</v>
      </c>
      <c r="D246" s="37" t="n">
        <f aca="false">D245/D236</f>
        <v>0.144759223414863</v>
      </c>
      <c r="E246" s="37" t="n">
        <f aca="false">E245/E236</f>
        <v>0.1270506592644</v>
      </c>
      <c r="F246" s="37" t="n">
        <f aca="false">F245/F236</f>
        <v>0.133615143754363</v>
      </c>
      <c r="G246" s="37" t="n">
        <f aca="false">G245/G236</f>
        <v>0.135</v>
      </c>
      <c r="H246" s="37" t="n">
        <f aca="false">H245/H236</f>
        <v>0.135</v>
      </c>
      <c r="I246" s="37" t="n">
        <f aca="false">I245/I236</f>
        <v>0.135</v>
      </c>
      <c r="J246" s="37" t="n">
        <f aca="false">J245/J236</f>
        <v>0.135</v>
      </c>
    </row>
    <row r="248" customFormat="false" ht="15" hidden="false" customHeight="true" outlineLevel="0" collapsed="false">
      <c r="B248" s="3" t="s">
        <v>246</v>
      </c>
    </row>
    <row r="249" customFormat="false" ht="15" hidden="false" customHeight="true" outlineLevel="0" collapsed="false">
      <c r="B249" s="7" t="s">
        <v>247</v>
      </c>
      <c r="D249" s="22" t="n">
        <f aca="false">D241*D$39</f>
        <v>0</v>
      </c>
      <c r="E249" s="22" t="n">
        <f aca="false">E241*E$39</f>
        <v>0</v>
      </c>
      <c r="F249" s="22" t="n">
        <f aca="false">F241*F$39</f>
        <v>699.369817255659</v>
      </c>
      <c r="G249" s="22" t="n">
        <f aca="false">G241*G$39</f>
        <v>722.583569064873</v>
      </c>
      <c r="H249" s="22" t="n">
        <f aca="false">H241*H$39</f>
        <v>768.09811967432</v>
      </c>
      <c r="I249" s="22" t="n">
        <f aca="false">I241*I$39</f>
        <v>815.207903007251</v>
      </c>
      <c r="J249" s="22" t="n">
        <f aca="false">J241*J$39</f>
        <v>875.122443637003</v>
      </c>
    </row>
    <row r="250" customFormat="false" ht="15" hidden="false" customHeight="true" outlineLevel="0" collapsed="false">
      <c r="B250" s="7" t="s">
        <v>248</v>
      </c>
      <c r="D250" s="22" t="n">
        <f aca="false">MAX(0,D240+D241+D243+D244-D236*D$37)</f>
        <v>5591.90669728</v>
      </c>
      <c r="E250" s="22" t="n">
        <f aca="false">MAX(0,E240+E241+E243+E244-E236*E$37)</f>
        <v>5506.09997692</v>
      </c>
      <c r="F250" s="22" t="n">
        <f aca="false">MAX(0,F240+F241+F243+F244-F236*F$37)</f>
        <v>832.070457828454</v>
      </c>
      <c r="G250" s="22" t="n">
        <f aca="false">MAX(0,G240+G241+G243+G244-G236*G$37)</f>
        <v>921.632167942749</v>
      </c>
      <c r="H250" s="22" t="n">
        <f aca="false">MAX(0,H240+H241+H243+H244-H236*H$37)</f>
        <v>1072.7727174929</v>
      </c>
      <c r="I250" s="22" t="n">
        <f aca="false">MAX(0,I240+I241+I243+I244-I236*I$37)</f>
        <v>1178.71031208589</v>
      </c>
      <c r="J250" s="22" t="n">
        <f aca="false">MAX(0,J240+J241+J243+J244-J236*J$37)</f>
        <v>1309.8073767473</v>
      </c>
    </row>
    <row r="251" customFormat="false" ht="21.75" hidden="false" customHeight="true" outlineLevel="0" collapsed="false">
      <c r="B251" s="7" t="s">
        <v>249</v>
      </c>
      <c r="D251" s="19" t="n">
        <v>373</v>
      </c>
      <c r="E251" s="19" t="n">
        <v>399</v>
      </c>
      <c r="F251" s="22" t="n">
        <f aca="false">MIN(F249,F250)</f>
        <v>699.369817255659</v>
      </c>
      <c r="G251" s="22" t="n">
        <f aca="false">MIN(G249,G250)</f>
        <v>722.583569064873</v>
      </c>
      <c r="H251" s="22" t="n">
        <f aca="false">MIN(H249,H250)</f>
        <v>768.09811967432</v>
      </c>
      <c r="I251" s="22" t="n">
        <f aca="false">MIN(I249,I250)</f>
        <v>815.207903007251</v>
      </c>
      <c r="J251" s="22" t="n">
        <f aca="false">MIN(J249,J250)</f>
        <v>875.122443637003</v>
      </c>
      <c r="L251" s="16" t="s">
        <v>250</v>
      </c>
    </row>
    <row r="252" customFormat="false" ht="15" hidden="false" customHeight="true" outlineLevel="0" collapsed="false">
      <c r="B252" s="7" t="s">
        <v>251</v>
      </c>
      <c r="D252" s="19" t="n">
        <v>0</v>
      </c>
      <c r="E252" s="19" t="n">
        <v>0</v>
      </c>
      <c r="F252" s="22" t="n">
        <f aca="false">MAX(0,F240+F241+F243+F244-F251-F236*(F$37+F$38))</f>
        <v>0</v>
      </c>
      <c r="G252" s="22" t="n">
        <f aca="false">MAX(0,G240+G241+G243+G244-G251-G236*(G$37+G$38))</f>
        <v>4.79271124242132</v>
      </c>
      <c r="H252" s="22" t="n">
        <f aca="false">MAX(0,H240+H241+H243+H244-H251-H236*(H$37+H$38))</f>
        <v>100.071643607172</v>
      </c>
      <c r="I252" s="22" t="n">
        <f aca="false">MAX(0,I240+I241+I243+I244-I251-I236*(I$37+I$38))</f>
        <v>149.050149265426</v>
      </c>
      <c r="J252" s="22" t="n">
        <f aca="false">MAX(0,J240+J241+J243+J244-J251-J236*(J$37+J$38))</f>
        <v>211.003926536987</v>
      </c>
    </row>
    <row r="253" customFormat="false" ht="21.75" hidden="false" customHeight="true" outlineLevel="0" collapsed="false">
      <c r="B253" s="7" t="s">
        <v>252</v>
      </c>
      <c r="D253" s="22" t="n">
        <f aca="false">D252</f>
        <v>0</v>
      </c>
      <c r="E253" s="22" t="n">
        <f aca="false">E252</f>
        <v>0</v>
      </c>
      <c r="F253" s="22" t="n">
        <f aca="false">F252</f>
        <v>0</v>
      </c>
      <c r="G253" s="22" t="n">
        <f aca="false">G252</f>
        <v>4.79271124242132</v>
      </c>
      <c r="H253" s="22" t="n">
        <f aca="false">H252</f>
        <v>100.071643607172</v>
      </c>
      <c r="I253" s="22" t="n">
        <f aca="false">I252</f>
        <v>149.050149265426</v>
      </c>
      <c r="J253" s="22" t="n">
        <f aca="false">J252</f>
        <v>211.003926536987</v>
      </c>
      <c r="L253" s="16" t="s">
        <v>253</v>
      </c>
    </row>
    <row r="254" customFormat="false" ht="15" hidden="false" customHeight="true" outlineLevel="0" collapsed="false">
      <c r="B254" s="3" t="s">
        <v>254</v>
      </c>
      <c r="D254" s="23" t="n">
        <f aca="false">D251+D253</f>
        <v>373</v>
      </c>
      <c r="E254" s="23" t="n">
        <f aca="false">E251+E253</f>
        <v>399</v>
      </c>
      <c r="F254" s="23" t="n">
        <f aca="false">F251+F253</f>
        <v>699.369817255659</v>
      </c>
      <c r="G254" s="23" t="n">
        <f aca="false">G251+G253</f>
        <v>727.376280307295</v>
      </c>
      <c r="H254" s="23" t="n">
        <f aca="false">H251+H253</f>
        <v>868.169763281492</v>
      </c>
      <c r="I254" s="23" t="n">
        <f aca="false">I251+I253</f>
        <v>964.258052272677</v>
      </c>
      <c r="J254" s="23" t="n">
        <f aca="false">J251+J253</f>
        <v>1086.12637017399</v>
      </c>
    </row>
    <row r="255" customFormat="false" ht="15" hidden="false" customHeight="true" outlineLevel="0" collapsed="false">
      <c r="B255" s="7" t="s">
        <v>255</v>
      </c>
      <c r="D255" s="26" t="n">
        <f aca="false">IFERROR(D254/D241,0)</f>
        <v>0.368247145567931</v>
      </c>
      <c r="E255" s="26" t="n">
        <f aca="false">IFERROR(E254/E241,0)</f>
        <v>0.399359432706652</v>
      </c>
      <c r="F255" s="26" t="n">
        <f aca="false">IFERROR(F254/F241,0)</f>
        <v>0.57</v>
      </c>
      <c r="G255" s="26" t="n">
        <f aca="false">IFERROR(G254/G241,0)</f>
        <v>0.573780663614751</v>
      </c>
      <c r="H255" s="26" t="n">
        <f aca="false">IFERROR(H254/H241,0)</f>
        <v>0.644262435221523</v>
      </c>
      <c r="I255" s="26" t="n">
        <f aca="false">IFERROR(I254/I241,0)</f>
        <v>0.674217077346632</v>
      </c>
      <c r="J255" s="26" t="n">
        <f aca="false">IFERROR(J254/J241,0)</f>
        <v>0.70743475441703</v>
      </c>
    </row>
    <row r="256" customFormat="false" ht="15" hidden="false" customHeight="true" outlineLevel="0" collapsed="false">
      <c r="B256" s="7" t="s">
        <v>256</v>
      </c>
      <c r="D256" s="9" t="str">
        <f aca="false">IF(D251&lt;D249-0.5,"YES","No")</f>
        <v>No</v>
      </c>
      <c r="E256" s="9" t="str">
        <f aca="false">IF(E251&lt;E249-0.5,"YES","No")</f>
        <v>No</v>
      </c>
      <c r="F256" s="9" t="str">
        <f aca="false">IF(F251&lt;F249-0.5,"YES","No")</f>
        <v>No</v>
      </c>
      <c r="G256" s="9" t="str">
        <f aca="false">IF(G251&lt;G249-0.5,"YES","No")</f>
        <v>No</v>
      </c>
      <c r="H256" s="9" t="str">
        <f aca="false">IF(H251&lt;H249-0.5,"YES","No")</f>
        <v>No</v>
      </c>
      <c r="I256" s="9" t="str">
        <f aca="false">IF(I251&lt;I249-0.5,"YES","No")</f>
        <v>No</v>
      </c>
      <c r="J256" s="9" t="str">
        <f aca="false">IF(J251&lt;J249-0.5,"YES","No")</f>
        <v>No</v>
      </c>
    </row>
    <row r="258" customFormat="false" ht="15" hidden="false" customHeight="true" outlineLevel="0" collapsed="false">
      <c r="B258" s="3" t="s">
        <v>257</v>
      </c>
    </row>
    <row r="259" customFormat="false" ht="15" hidden="false" customHeight="true" outlineLevel="0" collapsed="false">
      <c r="B259" s="7" t="s">
        <v>258</v>
      </c>
      <c r="C259" s="7" t="s">
        <v>101</v>
      </c>
      <c r="D259" s="38" t="n">
        <f aca="false">D129/D$52</f>
        <v>5.7608</v>
      </c>
      <c r="E259" s="38" t="n">
        <f aca="false">E129/E$52</f>
        <v>5.83092948717949</v>
      </c>
      <c r="F259" s="38" t="n">
        <f aca="false">F129/F$52</f>
        <v>6.19198299232447</v>
      </c>
      <c r="G259" s="38" t="n">
        <f aca="false">G129/G$52</f>
        <v>6.56322833826705</v>
      </c>
      <c r="H259" s="38" t="n">
        <f aca="false">H129/H$52</f>
        <v>6.88423859271468</v>
      </c>
      <c r="I259" s="38" t="n">
        <f aca="false">I129/I$52</f>
        <v>7.19447997993329</v>
      </c>
      <c r="J259" s="38" t="n">
        <f aca="false">J129/J$52</f>
        <v>7.48989357169812</v>
      </c>
    </row>
    <row r="260" customFormat="false" ht="15" hidden="false" customHeight="true" outlineLevel="0" collapsed="false">
      <c r="B260" s="3" t="s">
        <v>259</v>
      </c>
      <c r="C260" s="7" t="s">
        <v>50</v>
      </c>
      <c r="D260" s="37" t="n">
        <f aca="false">D84/D129</f>
        <v>0.140661949351479</v>
      </c>
      <c r="E260" s="37" t="n">
        <f aca="false">E84/AVERAGE(D129,E129)</f>
        <v>0.138016297405719</v>
      </c>
      <c r="F260" s="37" t="n">
        <f aca="false">F84/AVERAGE(E129,F129)</f>
        <v>0.163545182008949</v>
      </c>
      <c r="G260" s="37" t="n">
        <f aca="false">G84/AVERAGE(F129,G129)</f>
        <v>0.159272566404861</v>
      </c>
      <c r="H260" s="37" t="n">
        <f aca="false">H84/AVERAGE(G129,H129)</f>
        <v>0.16058936159667</v>
      </c>
      <c r="I260" s="37" t="n">
        <f aca="false">I84/AVERAGE(H129,I129)</f>
        <v>0.162796779115077</v>
      </c>
      <c r="J260" s="37" t="n">
        <f aca="false">J84/AVERAGE(I129,J129)</f>
        <v>0.167553673081397</v>
      </c>
    </row>
    <row r="263" customFormat="false" ht="21.75" hidden="false" customHeight="true" outlineLevel="0" collapsed="false">
      <c r="B263" s="2" t="s">
        <v>32</v>
      </c>
      <c r="C263" s="2"/>
      <c r="D263" s="2"/>
      <c r="E263" s="2"/>
      <c r="F263" s="2"/>
      <c r="G263" s="2"/>
      <c r="H263" s="2"/>
      <c r="I263" s="2"/>
      <c r="J263" s="2"/>
    </row>
    <row r="265" customFormat="false" ht="15" hidden="false" customHeight="true" outlineLevel="0" collapsed="false">
      <c r="B265" s="12" t="s">
        <v>44</v>
      </c>
      <c r="D265" s="13" t="n">
        <f aca="false">+D$5</f>
        <v>2024</v>
      </c>
      <c r="E265" s="13" t="n">
        <f aca="false">+E$5</f>
        <v>2025</v>
      </c>
      <c r="F265" s="13" t="n">
        <f aca="false">+F$5</f>
        <v>2026</v>
      </c>
      <c r="G265" s="13" t="n">
        <f aca="false">+G$5</f>
        <v>2027</v>
      </c>
      <c r="H265" s="13" t="n">
        <f aca="false">+H$5</f>
        <v>2028</v>
      </c>
      <c r="I265" s="13" t="n">
        <f aca="false">+I$5</f>
        <v>2029</v>
      </c>
      <c r="J265" s="13" t="n">
        <f aca="false">+J$5</f>
        <v>2030</v>
      </c>
    </row>
    <row r="267" customFormat="false" ht="15" hidden="false" customHeight="true" outlineLevel="0" collapsed="false">
      <c r="B267" s="7" t="s">
        <v>260</v>
      </c>
      <c r="D267" s="18" t="n">
        <v>0</v>
      </c>
      <c r="E267" s="18" t="n">
        <v>835</v>
      </c>
      <c r="F267" s="27" t="n">
        <f aca="false">E267*(1+F$43)</f>
        <v>868.4</v>
      </c>
      <c r="G267" s="27" t="n">
        <f aca="false">F267*(1+G$43)</f>
        <v>907.478</v>
      </c>
      <c r="H267" s="27" t="n">
        <f aca="false">G267*(1+H$43)</f>
        <v>948.31451</v>
      </c>
      <c r="I267" s="27" t="n">
        <f aca="false">H267*(1+I$43)</f>
        <v>986.2470904</v>
      </c>
      <c r="J267" s="27" t="n">
        <f aca="false">I267*(1+J$43)</f>
        <v>1025.696974016</v>
      </c>
    </row>
    <row r="268" customFormat="false" ht="15" hidden="false" customHeight="true" outlineLevel="0" collapsed="false">
      <c r="B268" s="7" t="s">
        <v>261</v>
      </c>
      <c r="D268" s="19" t="n">
        <v>0</v>
      </c>
      <c r="E268" s="19" t="n">
        <v>9.8</v>
      </c>
      <c r="F268" s="22" t="n">
        <f aca="false">F267*0.155</f>
        <v>134.602</v>
      </c>
      <c r="G268" s="22" t="n">
        <f aca="false">G267*0.155</f>
        <v>140.65909</v>
      </c>
      <c r="H268" s="22" t="n">
        <f aca="false">H267*0.155</f>
        <v>146.98874905</v>
      </c>
      <c r="I268" s="22" t="n">
        <f aca="false">I267*0.155</f>
        <v>152.868299012</v>
      </c>
      <c r="J268" s="22" t="n">
        <f aca="false">J267*0.155</f>
        <v>158.98303097248</v>
      </c>
    </row>
    <row r="269" customFormat="false" ht="15" hidden="false" customHeight="true" outlineLevel="0" collapsed="false">
      <c r="B269" s="7" t="s">
        <v>92</v>
      </c>
      <c r="C269" s="7" t="s">
        <v>50</v>
      </c>
      <c r="D269" s="17" t="n">
        <v>0</v>
      </c>
      <c r="E269" s="17" t="n">
        <v>0.99</v>
      </c>
      <c r="F269" s="26" t="n">
        <f aca="false">F$44</f>
        <v>0.93</v>
      </c>
      <c r="G269" s="26" t="n">
        <f aca="false">G$44</f>
        <v>0.93</v>
      </c>
      <c r="H269" s="26" t="n">
        <f aca="false">H$44</f>
        <v>0.925</v>
      </c>
      <c r="I269" s="26" t="n">
        <f aca="false">I$44</f>
        <v>0.925</v>
      </c>
      <c r="J269" s="26" t="n">
        <f aca="false">J$44</f>
        <v>0.92</v>
      </c>
    </row>
    <row r="270" customFormat="false" ht="15" hidden="false" customHeight="true" outlineLevel="0" collapsed="false">
      <c r="B270" s="7" t="s">
        <v>115</v>
      </c>
      <c r="D270" s="19" t="n">
        <v>0</v>
      </c>
      <c r="E270" s="19" t="n">
        <v>-6.8</v>
      </c>
      <c r="F270" s="22" t="n">
        <f aca="false">-F268*0.33</f>
        <v>-44.41866</v>
      </c>
      <c r="G270" s="22" t="n">
        <f aca="false">-G268*0.33</f>
        <v>-46.4174997</v>
      </c>
      <c r="H270" s="22" t="n">
        <f aca="false">-H268*0.33</f>
        <v>-48.5062871865</v>
      </c>
      <c r="I270" s="22" t="n">
        <f aca="false">-I268*0.33</f>
        <v>-50.44653867396</v>
      </c>
      <c r="J270" s="22" t="n">
        <f aca="false">-J268*0.33</f>
        <v>-52.4644002209184</v>
      </c>
    </row>
    <row r="271" customFormat="false" ht="15" hidden="false" customHeight="true" outlineLevel="0" collapsed="false">
      <c r="B271" s="3" t="s">
        <v>262</v>
      </c>
      <c r="D271" s="24" t="n">
        <f aca="false">D268+D270</f>
        <v>0</v>
      </c>
      <c r="E271" s="24" t="n">
        <f aca="false">E268+E270</f>
        <v>3</v>
      </c>
      <c r="F271" s="24" t="n">
        <f aca="false">F268+F270</f>
        <v>90.18334</v>
      </c>
      <c r="G271" s="24" t="n">
        <f aca="false">G268+G270</f>
        <v>94.2415903</v>
      </c>
      <c r="H271" s="24" t="n">
        <f aca="false">H268+H270</f>
        <v>98.4824618635</v>
      </c>
      <c r="I271" s="24" t="n">
        <f aca="false">I268+I270</f>
        <v>102.42176033804</v>
      </c>
      <c r="J271" s="24" t="n">
        <f aca="false">J268+J270</f>
        <v>106.518630751562</v>
      </c>
    </row>
    <row r="274" customFormat="false" ht="21.75" hidden="false" customHeight="true" outlineLevel="0" collapsed="false">
      <c r="B274" s="2" t="s">
        <v>34</v>
      </c>
      <c r="C274" s="2"/>
      <c r="D274" s="2"/>
      <c r="E274" s="2"/>
      <c r="F274" s="2"/>
      <c r="G274" s="2"/>
      <c r="H274" s="2"/>
      <c r="I274" s="2"/>
      <c r="J274" s="2"/>
    </row>
    <row r="276" customFormat="false" ht="15" hidden="false" customHeight="true" outlineLevel="0" collapsed="false">
      <c r="B276" s="12" t="s">
        <v>44</v>
      </c>
      <c r="D276" s="13" t="n">
        <f aca="false">+D$5</f>
        <v>2024</v>
      </c>
      <c r="E276" s="13" t="n">
        <f aca="false">+E$5</f>
        <v>2025</v>
      </c>
      <c r="F276" s="13" t="n">
        <f aca="false">+F$5</f>
        <v>2026</v>
      </c>
      <c r="G276" s="13" t="n">
        <f aca="false">+G$5</f>
        <v>2027</v>
      </c>
      <c r="H276" s="13" t="n">
        <f aca="false">+H$5</f>
        <v>2028</v>
      </c>
      <c r="I276" s="13" t="n">
        <f aca="false">+I$5</f>
        <v>2029</v>
      </c>
      <c r="J276" s="13" t="n">
        <f aca="false">+J$5</f>
        <v>2030</v>
      </c>
    </row>
    <row r="278" customFormat="false" ht="15" hidden="false" customHeight="true" outlineLevel="0" collapsed="false">
      <c r="B278" s="7" t="s">
        <v>263</v>
      </c>
      <c r="C278" s="7" t="s">
        <v>50</v>
      </c>
      <c r="D278" s="26" t="n">
        <f aca="false">D$47+D$49*D$48</f>
        <v>0.10075</v>
      </c>
      <c r="E278" s="26" t="n">
        <f aca="false">E$47+E$49*E$48</f>
        <v>0.10075</v>
      </c>
      <c r="F278" s="26" t="n">
        <f aca="false">F$47+F$49*F$48</f>
        <v>0.10075</v>
      </c>
      <c r="G278" s="26" t="n">
        <f aca="false">G$47+G$49*G$48</f>
        <v>0.10075</v>
      </c>
      <c r="H278" s="26" t="n">
        <f aca="false">H$47+H$49*H$48</f>
        <v>0.10075</v>
      </c>
      <c r="I278" s="26" t="n">
        <f aca="false">I$47+I$49*I$48</f>
        <v>0.10075</v>
      </c>
      <c r="J278" s="26" t="n">
        <f aca="false">J$47+J$49*J$48</f>
        <v>0.10075</v>
      </c>
    </row>
    <row r="279" customFormat="false" ht="15" hidden="false" customHeight="true" outlineLevel="0" collapsed="false">
      <c r="B279" s="7" t="s">
        <v>264</v>
      </c>
      <c r="C279" s="7" t="s">
        <v>50</v>
      </c>
      <c r="D279" s="26" t="n">
        <f aca="false">D260</f>
        <v>0.140661949351479</v>
      </c>
      <c r="E279" s="26" t="n">
        <f aca="false">E260</f>
        <v>0.138016297405719</v>
      </c>
      <c r="F279" s="26" t="n">
        <f aca="false">F260</f>
        <v>0.163545182008949</v>
      </c>
      <c r="G279" s="26" t="n">
        <f aca="false">G260</f>
        <v>0.159272566404861</v>
      </c>
      <c r="H279" s="26" t="n">
        <f aca="false">H260</f>
        <v>0.16058936159667</v>
      </c>
      <c r="I279" s="26" t="n">
        <f aca="false">I260</f>
        <v>0.162796779115077</v>
      </c>
      <c r="J279" s="26" t="n">
        <f aca="false">J260</f>
        <v>0.167553673081397</v>
      </c>
    </row>
    <row r="280" customFormat="false" ht="21.75" hidden="false" customHeight="true" outlineLevel="0" collapsed="false">
      <c r="B280" s="3" t="s">
        <v>265</v>
      </c>
      <c r="C280" s="7" t="s">
        <v>98</v>
      </c>
      <c r="D280" s="39" t="n">
        <f aca="false">(D279-D$50)/(D278-D$50)</f>
        <v>1.52689042048157</v>
      </c>
      <c r="E280" s="39" t="n">
        <f aca="false">(E279-E$50)/(E278-E$50)</f>
        <v>1.49196432218771</v>
      </c>
      <c r="F280" s="39" t="n">
        <f aca="false">(F279-F$50)/(F278-F$50)</f>
        <v>1.82897930044817</v>
      </c>
      <c r="G280" s="39" t="n">
        <f aca="false">(G279-G$50)/(G278-G$50)</f>
        <v>1.77257513405757</v>
      </c>
      <c r="H280" s="39" t="n">
        <f aca="false">(H279-H$50)/(H278-H$50)</f>
        <v>1.78995856893294</v>
      </c>
      <c r="I280" s="39" t="n">
        <f aca="false">(I279-I$50)/(I278-I$50)</f>
        <v>1.81909939425844</v>
      </c>
      <c r="J280" s="39" t="n">
        <f aca="false">(J279-J$50)/(J278-J$50)</f>
        <v>1.88189667434187</v>
      </c>
      <c r="L280" s="16" t="s">
        <v>266</v>
      </c>
    </row>
    <row r="281" customFormat="false" ht="15" hidden="false" customHeight="true" outlineLevel="0" collapsed="false">
      <c r="B281" s="7" t="s">
        <v>258</v>
      </c>
      <c r="C281" s="7" t="s">
        <v>101</v>
      </c>
      <c r="D281" s="38" t="n">
        <f aca="false">D259</f>
        <v>5.7608</v>
      </c>
      <c r="E281" s="38" t="n">
        <f aca="false">E259</f>
        <v>5.83092948717949</v>
      </c>
      <c r="F281" s="38" t="n">
        <f aca="false">F259</f>
        <v>6.19198299232447</v>
      </c>
      <c r="G281" s="38" t="n">
        <f aca="false">G259</f>
        <v>6.56322833826705</v>
      </c>
      <c r="H281" s="38" t="n">
        <f aca="false">H259</f>
        <v>6.88423859271468</v>
      </c>
      <c r="I281" s="38" t="n">
        <f aca="false">I259</f>
        <v>7.19447997993329</v>
      </c>
      <c r="J281" s="38" t="n">
        <f aca="false">J259</f>
        <v>7.48989357169812</v>
      </c>
    </row>
    <row r="282" customFormat="false" ht="15" hidden="false" customHeight="true" outlineLevel="0" collapsed="false">
      <c r="B282" s="3" t="s">
        <v>267</v>
      </c>
      <c r="C282" s="7" t="s">
        <v>101</v>
      </c>
      <c r="D282" s="40" t="n">
        <f aca="false">D280*D281</f>
        <v>8.79611033431023</v>
      </c>
      <c r="E282" s="40" t="n">
        <f aca="false">E280*E281</f>
        <v>8.69953876006408</v>
      </c>
      <c r="F282" s="40" t="n">
        <f aca="false">F280*F281</f>
        <v>11.3250087216885</v>
      </c>
      <c r="G282" s="40" t="n">
        <f aca="false">G280*G281</f>
        <v>11.6338153515542</v>
      </c>
      <c r="H282" s="40" t="n">
        <f aca="false">H280*H281</f>
        <v>12.3225018596085</v>
      </c>
      <c r="I282" s="40" t="n">
        <f aca="false">I280*I281</f>
        <v>13.0874741735011</v>
      </c>
      <c r="J282" s="40" t="n">
        <f aca="false">J280*J281</f>
        <v>14.0952058037532</v>
      </c>
    </row>
    <row r="284" customFormat="false" ht="15" hidden="false" customHeight="true" outlineLevel="0" collapsed="false">
      <c r="B284" s="7" t="s">
        <v>268</v>
      </c>
      <c r="C284" s="7" t="s">
        <v>98</v>
      </c>
      <c r="D284" s="41" t="n">
        <f aca="false">D$51/F281</f>
        <v>1.72158095608694</v>
      </c>
    </row>
    <row r="285" customFormat="false" ht="15" hidden="false" customHeight="true" outlineLevel="0" collapsed="false">
      <c r="B285" s="7" t="s">
        <v>269</v>
      </c>
      <c r="C285" s="7" t="s">
        <v>98</v>
      </c>
      <c r="D285" s="41" t="n">
        <f aca="false">D$51/F92</f>
        <v>10.842757884171</v>
      </c>
    </row>
    <row r="286" customFormat="false" ht="15" hidden="false" customHeight="true" outlineLevel="0" collapsed="false">
      <c r="B286" s="3" t="s">
        <v>270</v>
      </c>
      <c r="C286" s="7" t="s">
        <v>50</v>
      </c>
      <c r="D286" s="37" t="n">
        <f aca="false">G282/D$51-1</f>
        <v>0.0913522843859453</v>
      </c>
    </row>
    <row r="289" customFormat="false" ht="21.75" hidden="false" customHeight="true" outlineLevel="0" collapsed="false">
      <c r="B289" s="2" t="s">
        <v>36</v>
      </c>
      <c r="C289" s="2"/>
      <c r="D289" s="2"/>
      <c r="E289" s="2"/>
      <c r="F289" s="2"/>
      <c r="G289" s="2"/>
      <c r="H289" s="2"/>
      <c r="I289" s="2"/>
      <c r="J289" s="2"/>
    </row>
    <row r="291" customFormat="false" ht="15" hidden="false" customHeight="true" outlineLevel="0" collapsed="false">
      <c r="B291" s="42" t="s">
        <v>271</v>
      </c>
      <c r="D291" s="42" t="s">
        <v>272</v>
      </c>
      <c r="F291" s="42" t="s">
        <v>273</v>
      </c>
    </row>
    <row r="292" customFormat="false" ht="15" hidden="false" customHeight="true" outlineLevel="0" collapsed="false">
      <c r="B292" s="7" t="s">
        <v>274</v>
      </c>
      <c r="D292" s="38" t="n">
        <f aca="false">SUMPRODUCT(ABS(F132:J132))</f>
        <v>0</v>
      </c>
      <c r="F292" s="43" t="str">
        <f aca="false">IF(SUMPRODUCT(ABS(F132:J132))&lt;0.5,"OK","FAIL")</f>
        <v>OK</v>
      </c>
    </row>
    <row r="293" customFormat="false" ht="15" hidden="false" customHeight="true" outlineLevel="0" collapsed="false">
      <c r="B293" s="7" t="s">
        <v>275</v>
      </c>
      <c r="D293" s="38" t="n">
        <f aca="false">SUMPRODUCT(ABS(D132:E132))</f>
        <v>1.59440504999657</v>
      </c>
      <c r="F293" s="43" t="str">
        <f aca="false">IF(SUMPRODUCT(ABS(D132:E132))&lt;2,"OK","FAIL")</f>
        <v>OK</v>
      </c>
    </row>
    <row r="294" customFormat="false" ht="15" hidden="false" customHeight="true" outlineLevel="0" collapsed="false">
      <c r="B294" s="7" t="s">
        <v>276</v>
      </c>
      <c r="D294" s="38" t="n">
        <f aca="false">SUMPRODUCT(ABS(D167:J167))</f>
        <v>0</v>
      </c>
      <c r="F294" s="43" t="str">
        <f aca="false">IF(SUMPRODUCT(ABS(D167:J167))&lt;0.5,"OK","FAIL")</f>
        <v>OK</v>
      </c>
    </row>
    <row r="295" customFormat="false" ht="15" hidden="false" customHeight="true" outlineLevel="0" collapsed="false">
      <c r="B295" s="7" t="s">
        <v>277</v>
      </c>
      <c r="D295" s="38" t="n">
        <f aca="false">D82-1065.9</f>
        <v>0.00669728000002579</v>
      </c>
      <c r="F295" s="43" t="str">
        <f aca="false">IF(ABS(D82-1065.9)&lt;0.5,"OK","FAIL")</f>
        <v>OK</v>
      </c>
    </row>
    <row r="296" customFormat="false" ht="15" hidden="false" customHeight="true" outlineLevel="0" collapsed="false">
      <c r="B296" s="7" t="s">
        <v>278</v>
      </c>
      <c r="D296" s="38" t="n">
        <f aca="false">E82-1070.1</f>
        <v>-2.30799996643327E-005</v>
      </c>
      <c r="F296" s="43" t="str">
        <f aca="false">IF(ABS(E82-1070.1)&lt;0.5,"OK","FAIL")</f>
        <v>OK</v>
      </c>
    </row>
    <row r="297" customFormat="false" ht="15" hidden="false" customHeight="true" outlineLevel="0" collapsed="false">
      <c r="B297" s="7" t="s">
        <v>279</v>
      </c>
      <c r="D297" s="38" t="n">
        <f aca="false">E61-1902.6</f>
        <v>-2.30799996643327E-005</v>
      </c>
      <c r="F297" s="43" t="str">
        <f aca="false">IF(ABS(E61-1902.6)&lt;0.5,"OK","FAIL")</f>
        <v>OK</v>
      </c>
    </row>
    <row r="298" customFormat="false" ht="15" hidden="false" customHeight="true" outlineLevel="0" collapsed="false">
      <c r="B298" s="7" t="s">
        <v>280</v>
      </c>
      <c r="D298" s="38" t="n">
        <f aca="false">J223</f>
        <v>950.277150026119</v>
      </c>
      <c r="F298" s="43" t="str">
        <f aca="false">IF(J223&gt;0,"OK","FAIL")</f>
        <v>OK</v>
      </c>
    </row>
    <row r="299" customFormat="false" ht="15" hidden="false" customHeight="true" outlineLevel="0" collapsed="false">
      <c r="B299" s="7" t="s">
        <v>281</v>
      </c>
      <c r="D299" s="38" t="n">
        <f aca="false">MIN(F246:J246)</f>
        <v>0.133615143754363</v>
      </c>
      <c r="F299" s="43" t="str">
        <f aca="false">IF(MIN(F246:J246)&gt;=F$37-0.0001,"OK","REVIEW")</f>
        <v>OK</v>
      </c>
    </row>
    <row r="300" customFormat="false" ht="15" hidden="false" customHeight="true" outlineLevel="0" collapsed="false">
      <c r="B300" s="7" t="s">
        <v>282</v>
      </c>
      <c r="D300" s="38" t="n">
        <f aca="false">MIN(D100:J100)</f>
        <v>5671.15494256973</v>
      </c>
      <c r="F300" s="43" t="str">
        <f aca="false">IF(MIN(D100:J100)&gt;0,"OK","FAIL")</f>
        <v>OK</v>
      </c>
    </row>
    <row r="301" customFormat="false" ht="15" hidden="false" customHeight="true" outlineLevel="0" collapsed="false">
      <c r="B301" s="7" t="s">
        <v>283</v>
      </c>
      <c r="D301" s="38" t="n">
        <f aca="false">J250-J251</f>
        <v>434.684933110292</v>
      </c>
      <c r="F301" s="43" t="str">
        <f aca="false">IF(J251&lt;=J250+0.5,"OK","FAIL")</f>
        <v>OK</v>
      </c>
    </row>
    <row r="302" customFormat="false" ht="15" hidden="false" customHeight="true" outlineLevel="0" collapsed="false">
      <c r="B302" s="7" t="s">
        <v>284</v>
      </c>
      <c r="D302" s="38" t="n">
        <f aca="false">MIN(D260:J260)</f>
        <v>0.138016297405719</v>
      </c>
      <c r="F302" s="43" t="str">
        <f aca="false">IF(MIN(D260:J260)&gt;0,"OK","FAIL")</f>
        <v>OK</v>
      </c>
    </row>
    <row r="304" customFormat="false" ht="24" hidden="false" customHeight="true" outlineLevel="0" collapsed="false">
      <c r="B304" s="44" t="str">
        <f aca="false">IF(COUNTIF(F292:F302,"FAIL")=0,"ALL CHECKS PASSED","ERRORS FOUND")</f>
        <v>ALL CHECKS PASSED</v>
      </c>
      <c r="C304" s="44"/>
      <c r="D304" s="44"/>
      <c r="E304" s="44"/>
      <c r="F304" s="44"/>
    </row>
  </sheetData>
  <mergeCells count="11">
    <mergeCell ref="B3:J3"/>
    <mergeCell ref="B55:J55"/>
    <mergeCell ref="B95:J95"/>
    <mergeCell ref="B135:J135"/>
    <mergeCell ref="B170:J170"/>
    <mergeCell ref="B215:J215"/>
    <mergeCell ref="B231:J231"/>
    <mergeCell ref="B263:J263"/>
    <mergeCell ref="B274:J274"/>
    <mergeCell ref="B289:J289"/>
    <mergeCell ref="B304:F304"/>
  </mergeCells>
  <conditionalFormatting sqref="F292:F302">
    <cfRule type="expression" priority="2" aboveAverage="0" equalAverage="0" bottom="0" percent="0" rank="0" text="" dxfId="0">
      <formula>$F292="OK"</formula>
    </cfRule>
    <cfRule type="expression" priority="3" aboveAverage="0" equalAverage="0" bottom="0" percent="0" rank="0" text="" dxfId="1">
      <formula>$F292="FAIL"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2026-09-10T18:01:39Z</dcterms:created>
  <dc:creator>openpyxl</dc:creator>
  <dc:description/>
  <dc:language>en-US</dc:language>
  <cp:lastModifiedBy/>
  <dcterms:modified xsi:type="dcterms:W3CDTF">2026-09-10T18:23:08Z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