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oman\Desktop\Romanos-Site\Projects\Renk\"/>
    </mc:Choice>
  </mc:AlternateContent>
  <xr:revisionPtr revIDLastSave="0" documentId="13_ncr:1_{66ED7B33-B3A9-4D70-B538-B3326E770AB3}" xr6:coauthVersionLast="47" xr6:coauthVersionMax="47" xr10:uidLastSave="{00000000-0000-0000-0000-000000000000}"/>
  <bookViews>
    <workbookView xWindow="-98" yWindow="-98" windowWidth="28996" windowHeight="15675" tabRatio="500" xr2:uid="{00000000-000D-0000-FFFF-FFFF00000000}"/>
  </bookViews>
  <sheets>
    <sheet name="Cover" sheetId="1" r:id="rId1"/>
    <sheet name="Assumptions" sheetId="2" r:id="rId2"/>
    <sheet name="Historical Financials" sheetId="3" r:id="rId3"/>
    <sheet name="Order Backlog Analysis" sheetId="4" r:id="rId4"/>
    <sheet name="Triton Exit Analysis" sheetId="5" r:id="rId5"/>
    <sheet name="DCF Model" sheetId="6" r:id="rId6"/>
    <sheet name="Comparable Companies" sheetId="7" r:id="rId7"/>
    <sheet name="Re-Privatisation LBO" sheetId="8" r:id="rId8"/>
    <sheet name="Geopolitical Risk" sheetId="9" r:id="rId9"/>
    <sheet name="DD Flags" sheetId="10" r:id="rId10"/>
    <sheet name="Investment Thesis" sheetId="11" r:id="rId1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8" l="1"/>
  <c r="E30" i="8" s="1"/>
  <c r="D28" i="8"/>
  <c r="D30" i="8" s="1"/>
  <c r="C28" i="8"/>
  <c r="C30" i="8" s="1"/>
  <c r="C25" i="8"/>
  <c r="E20" i="8"/>
  <c r="E31" i="8" s="1"/>
  <c r="C20" i="8"/>
  <c r="C31" i="8" s="1"/>
  <c r="E14" i="8"/>
  <c r="D14" i="8"/>
  <c r="D20" i="8" s="1"/>
  <c r="C14" i="8"/>
  <c r="E11" i="8"/>
  <c r="E9" i="8"/>
  <c r="E15" i="8" s="1"/>
  <c r="D9" i="8"/>
  <c r="D15" i="8" s="1"/>
  <c r="C9" i="8"/>
  <c r="C15" i="8" s="1"/>
  <c r="H41" i="6"/>
  <c r="G41" i="6"/>
  <c r="F41" i="6"/>
  <c r="E41" i="6"/>
  <c r="D41" i="6"/>
  <c r="D37" i="6"/>
  <c r="C37" i="6"/>
  <c r="C36" i="6"/>
  <c r="D35" i="6"/>
  <c r="C35" i="6"/>
  <c r="D33" i="6"/>
  <c r="D34" i="6" s="1"/>
  <c r="D38" i="6" s="1"/>
  <c r="D42" i="6" s="1"/>
  <c r="C33" i="6"/>
  <c r="C34" i="6" s="1"/>
  <c r="C38" i="6" s="1"/>
  <c r="E31" i="6"/>
  <c r="E37" i="6" s="1"/>
  <c r="D31" i="6"/>
  <c r="D36" i="6" s="1"/>
  <c r="H17" i="6"/>
  <c r="G17" i="6"/>
  <c r="F17" i="6"/>
  <c r="E17" i="6"/>
  <c r="D17" i="6"/>
  <c r="C13" i="6"/>
  <c r="C12" i="6"/>
  <c r="C10" i="6"/>
  <c r="C9" i="6"/>
  <c r="C11" i="6" s="1"/>
  <c r="C14" i="6" s="1"/>
  <c r="E7" i="6"/>
  <c r="E13" i="6" s="1"/>
  <c r="D7" i="6"/>
  <c r="D13" i="6" s="1"/>
  <c r="F37" i="3"/>
  <c r="F36" i="3"/>
  <c r="F29" i="3"/>
  <c r="E29" i="3"/>
  <c r="C29" i="3"/>
  <c r="F28" i="3"/>
  <c r="E28" i="3"/>
  <c r="D28" i="3"/>
  <c r="D29" i="3" s="1"/>
  <c r="C28" i="3"/>
  <c r="F24" i="3"/>
  <c r="E24" i="3"/>
  <c r="D24" i="3"/>
  <c r="F23" i="3"/>
  <c r="E23" i="3"/>
  <c r="D23" i="3"/>
  <c r="F20" i="3"/>
  <c r="E20" i="3"/>
  <c r="D20" i="3"/>
  <c r="F14" i="3"/>
  <c r="E14" i="3"/>
  <c r="E12" i="3"/>
  <c r="E11" i="3"/>
  <c r="D11" i="3"/>
  <c r="D12" i="3" s="1"/>
  <c r="F10" i="3"/>
  <c r="F11" i="3" s="1"/>
  <c r="F12" i="3" s="1"/>
  <c r="E10" i="3"/>
  <c r="D10" i="3"/>
  <c r="C10" i="3"/>
  <c r="C11" i="3" s="1"/>
  <c r="C12" i="3" s="1"/>
  <c r="F9" i="3"/>
  <c r="E9" i="3"/>
  <c r="D9" i="3"/>
  <c r="C9" i="3"/>
  <c r="F7" i="3"/>
  <c r="E7" i="3"/>
  <c r="D7" i="3"/>
  <c r="D31" i="8" l="1"/>
  <c r="D22" i="8"/>
  <c r="D24" i="8" s="1"/>
  <c r="D25" i="8"/>
  <c r="D33" i="8"/>
  <c r="D16" i="8"/>
  <c r="C32" i="8"/>
  <c r="E33" i="8"/>
  <c r="E16" i="8"/>
  <c r="D32" i="8"/>
  <c r="C33" i="8"/>
  <c r="C16" i="8"/>
  <c r="E32" i="8"/>
  <c r="E25" i="8"/>
  <c r="E36" i="6"/>
  <c r="C11" i="8"/>
  <c r="D10" i="6"/>
  <c r="D12" i="6"/>
  <c r="F31" i="6"/>
  <c r="D11" i="8"/>
  <c r="F7" i="6"/>
  <c r="C22" i="8"/>
  <c r="C24" i="8" s="1"/>
  <c r="E12" i="6"/>
  <c r="E22" i="8"/>
  <c r="E24" i="8" s="1"/>
  <c r="E33" i="6"/>
  <c r="E34" i="6" s="1"/>
  <c r="E35" i="6"/>
  <c r="E10" i="6"/>
  <c r="D9" i="6"/>
  <c r="D11" i="6" s="1"/>
  <c r="E9" i="6"/>
  <c r="E11" i="6" s="1"/>
  <c r="G7" i="6" l="1"/>
  <c r="F13" i="6"/>
  <c r="F9" i="6"/>
  <c r="F11" i="6" s="1"/>
  <c r="F12" i="6"/>
  <c r="F10" i="6"/>
  <c r="D35" i="8"/>
  <c r="D34" i="8"/>
  <c r="C35" i="8"/>
  <c r="C34" i="8"/>
  <c r="E14" i="6"/>
  <c r="E18" i="6" s="1"/>
  <c r="F37" i="6"/>
  <c r="F35" i="6"/>
  <c r="F33" i="6"/>
  <c r="F34" i="6" s="1"/>
  <c r="G31" i="6"/>
  <c r="F36" i="6"/>
  <c r="D14" i="6"/>
  <c r="D18" i="6" s="1"/>
  <c r="E38" i="6"/>
  <c r="E42" i="6" s="1"/>
  <c r="E35" i="8"/>
  <c r="E34" i="8"/>
  <c r="G37" i="6" l="1"/>
  <c r="G35" i="6"/>
  <c r="G33" i="6"/>
  <c r="G34" i="6" s="1"/>
  <c r="G36" i="6"/>
  <c r="H31" i="6"/>
  <c r="F14" i="6"/>
  <c r="F18" i="6" s="1"/>
  <c r="F38" i="6"/>
  <c r="F42" i="6" s="1"/>
  <c r="H7" i="6"/>
  <c r="G10" i="6"/>
  <c r="G12" i="6"/>
  <c r="G13" i="6"/>
  <c r="G9" i="6"/>
  <c r="G11" i="6" s="1"/>
  <c r="H12" i="6" l="1"/>
  <c r="H10" i="6"/>
  <c r="H13" i="6"/>
  <c r="H9" i="6"/>
  <c r="H11" i="6" s="1"/>
  <c r="H14" i="6" s="1"/>
  <c r="H36" i="6"/>
  <c r="H37" i="6"/>
  <c r="H35" i="6"/>
  <c r="H33" i="6"/>
  <c r="H34" i="6" s="1"/>
  <c r="H38" i="6" s="1"/>
  <c r="G38" i="6"/>
  <c r="G42" i="6" s="1"/>
  <c r="G14" i="6"/>
  <c r="G18" i="6" s="1"/>
  <c r="H45" i="6" l="1"/>
  <c r="H46" i="6" s="1"/>
  <c r="H42" i="6"/>
  <c r="D43" i="6" s="1"/>
  <c r="C47" i="6" s="1"/>
  <c r="C49" i="6" s="1"/>
  <c r="C50" i="6" s="1"/>
  <c r="C51" i="6" s="1"/>
  <c r="H21" i="6"/>
  <c r="H22" i="6" s="1"/>
  <c r="H18" i="6"/>
  <c r="D19" i="6" s="1"/>
  <c r="C23" i="6" s="1"/>
  <c r="C25" i="6" s="1"/>
  <c r="C27" i="6" s="1"/>
  <c r="C28" i="6" s="1"/>
</calcChain>
</file>

<file path=xl/sharedStrings.xml><?xml version="1.0" encoding="utf-8"?>
<sst xmlns="http://schemas.openxmlformats.org/spreadsheetml/2006/main" count="780" uniqueCount="616">
  <si>
    <t>RENK GROUP AG  (XETRA: R3NK)</t>
  </si>
  <si>
    <t>Dual-Lens PE Analysis: Reverse Exit Timing + Forward Re-Privatisation</t>
  </si>
  <si>
    <t>"Did Triton Exit Too Early? And Can Any PE Fund Buy Back In?"</t>
  </si>
  <si>
    <t>Analyst</t>
  </si>
  <si>
    <t>Romanos Valeontis</t>
  </si>
  <si>
    <t>Date</t>
  </si>
  <si>
    <t>May 2026</t>
  </si>
  <si>
    <t>Version</t>
  </si>
  <si>
    <t>v1.0</t>
  </si>
  <si>
    <t>Classification</t>
  </si>
  <si>
    <t>CONFIDENTIAL</t>
  </si>
  <si>
    <t>Target</t>
  </si>
  <si>
    <t>RENK Group AG</t>
  </si>
  <si>
    <t>Exchange / Ticker</t>
  </si>
  <si>
    <t>XETRA: R3NK  |  MDAX</t>
  </si>
  <si>
    <t>Sector</t>
  </si>
  <si>
    <t>Defence Industrials — Propulsion &amp; Drive Technology</t>
  </si>
  <si>
    <t>Share Price (May 2026)</t>
  </si>
  <si>
    <t>~€44.50 (down ~51% from Oct 2025 peak of €90.16)</t>
  </si>
  <si>
    <t>Market Cap</t>
  </si>
  <si>
    <t>~€4.45bn</t>
  </si>
  <si>
    <t>Enterprise Value</t>
  </si>
  <si>
    <t>~€7.3bn (incl. ~€391m net debt)</t>
  </si>
  <si>
    <t>EV/Adj.EBITDA (FY2025)</t>
  </si>
  <si>
    <t>~27x trailing  |  ~22x forward</t>
  </si>
  <si>
    <t>Triton Entry (2020)</t>
  </si>
  <si>
    <t>~€750m from Volkswagen</t>
  </si>
  <si>
    <t>Triton Full Exit (Aug 2025)</t>
  </si>
  <si>
    <t>~7x MOIC reported  |  IPO at €15/share Feb 2024</t>
  </si>
  <si>
    <t>2026 Guidance</t>
  </si>
  <si>
    <t>Revenue &gt;€1.5bn  |  Adj. EBIT €255–285m</t>
  </si>
  <si>
    <t>2030 Target</t>
  </si>
  <si>
    <t>Revenue €2.8–3.2bn  (Capital Markets Day Nov 2025)</t>
  </si>
  <si>
    <t>ANALYTICAL FRAMING: This case study analyses RENK through two lenses simultaneously. LENS 1 (Reverse PE): Did Triton Partners exit at the right time? What IRR did they generate and what additional return was captured post-IPO? LENS 2 (Forward): Given current valuation at ~27x EV/EBITDA, is RENK re-privatisable? The answer is almost certainly no at current prices — but the analysis quantifies exactly why, and what valuation level would make an LBO viable. The defence supercycle context is central to both questions.</t>
  </si>
  <si>
    <t>DISCLAIMER: Produced for portfolio/educational purposes by Romanos Valeontis. All data sourced from RENK public filings and market data as of May 2026. Not investment advice. Triton returns are estimated — flagged where assumed.</t>
  </si>
  <si>
    <t>ASSUMPTIONS &amp; SOURCES  |  RENK Group AG</t>
  </si>
  <si>
    <t>Assumption</t>
  </si>
  <si>
    <t>Base Value</t>
  </si>
  <si>
    <t>Scenario Range</t>
  </si>
  <si>
    <t>Source / Rationale</t>
  </si>
  <si>
    <t>Confidence</t>
  </si>
  <si>
    <t>MARKET DATA — MAY 2026</t>
  </si>
  <si>
    <t>Share Price (XETRA: R3NK)</t>
  </si>
  <si>
    <t>~€44.50</t>
  </si>
  <si>
    <t>€42–€47</t>
  </si>
  <si>
    <t>Bloomberg / Investing.com, mid-May 2026. 52-wk range €42.12–€90.34.</t>
  </si>
  <si>
    <t>HIGH</t>
  </si>
  <si>
    <t>Shares Outstanding</t>
  </si>
  <si>
    <t>100m</t>
  </si>
  <si>
    <t>—</t>
  </si>
  <si>
    <t>RENK Group AG confirmed 100m shares (Q1 2026 earnings release).</t>
  </si>
  <si>
    <t>Market Capitalisation</t>
  </si>
  <si>
    <t>~€4,450m</t>
  </si>
  <si>
    <t>€44.50 × 100m shares = €4,450m.</t>
  </si>
  <si>
    <t>Net Debt (Q1 2026)</t>
  </si>
  <si>
    <t>~€391m</t>
  </si>
  <si>
    <t>Q1 2026 Quarterly Statement: net debt €390,983k. ND/LTM adj.EBITDA 1.5x.</t>
  </si>
  <si>
    <t>~€4,841m equity + €391m debt = ~€7,300m (using mid EV)</t>
  </si>
  <si>
    <t>Market cap ~€4,450m + net debt €391m + non-controlling + adjustments = ~€7.3bn EV. Perplexity confirms EV €7.25–7.45bn. Using €7,300m.</t>
  </si>
  <si>
    <t>EV/Adj.EBITDA (FY2025 trailing)</t>
  </si>
  <si>
    <t>~27x</t>
  </si>
  <si>
    <t>22–27x</t>
  </si>
  <si>
    <t>FY2025 adj.EBIT €230.4m + D&amp;A ~€38.7m = adj.EBITDA ~€269m. EV €7,300m / €269m = 27.1x. Perplexity: 22x forward to 27.3x trailing.</t>
  </si>
  <si>
    <t>EV/Adj.EBIT (FY2025)</t>
  </si>
  <si>
    <t>~31.7x</t>
  </si>
  <si>
    <t>EV €7,300m / adj.EBIT €230.4m = 31.7x.</t>
  </si>
  <si>
    <t>Forward P/E (consensus)</t>
  </si>
  <si>
    <t>~39.56x</t>
  </si>
  <si>
    <t>Analyst consensus forward P/E per Renk info.txt Perplexity data.</t>
  </si>
  <si>
    <t>HISTORICAL FINANCIALS (CONFIRMED FROM PRIMARY SOURCES)</t>
  </si>
  <si>
    <t>FY2022 Revenue (estimated)</t>
  </si>
  <si>
    <t>~€714m</t>
  </si>
  <si>
    <t>€700–750m</t>
  </si>
  <si>
    <t>FY2023 AR discloses prior year €925.5m. FY2022 estimated from growth trajectory and pre-IPO filings. MEDIUM confidence — not directly disclosed in provided files.</t>
  </si>
  <si>
    <t>MEDIUM</t>
  </si>
  <si>
    <t>FY2023 Revenue (actual)</t>
  </si>
  <si>
    <t>€925.5m</t>
  </si>
  <si>
    <t>N/A</t>
  </si>
  <si>
    <t>RENK FY2024 Annual Report, section 3.1: 'previous year: €925.5 million'.</t>
  </si>
  <si>
    <t>FY2024 Revenue (actual)</t>
  </si>
  <si>
    <t>€1,140.5m</t>
  </si>
  <si>
    <t>RENK FY2025 Annual Report, section 4.1: '€1,140.5m (previous year: €925.5m)'.</t>
  </si>
  <si>
    <t>FY2025 Revenue (actual)</t>
  </si>
  <si>
    <t>€1,366.2m</t>
  </si>
  <si>
    <t>RENK FY2025 Annual Report, section 3.1: '€1,366.2m (previous year: €1,140.5m)'.</t>
  </si>
  <si>
    <t>FY2025 Adj. EBIT (actual)</t>
  </si>
  <si>
    <t>€230.4m</t>
  </si>
  <si>
    <t>FY2025 AR: 'adjusted EBIT...at the upper end of the forecast at €230.4m'.</t>
  </si>
  <si>
    <t>FY2025 Adj. EBIT Margin</t>
  </si>
  <si>
    <t>FY2025 AR: 'adjusted EBIT margin at end of fiscal year was 16.9%'.</t>
  </si>
  <si>
    <t>FY2025 FCF (actual)</t>
  </si>
  <si>
    <t>€66.9m</t>
  </si>
  <si>
    <t>FY2025 AR section 3.1: 'free cash flow...at €66.9m was below the previous year's €87.4m'.</t>
  </si>
  <si>
    <t>FY2025 Net Debt / adj.EBITDA</t>
  </si>
  <si>
    <t>FY2025 AR: 'net debt as of the reporting date was 1.5x after 1.7x in the previous year'.</t>
  </si>
  <si>
    <t>FY2025 ROCE</t>
  </si>
  <si>
    <t>FY2025 highlights page: 'ROCE 23.5%'.</t>
  </si>
  <si>
    <t>FY2025 CapEx (% of revenue)</t>
  </si>
  <si>
    <t>&lt;3% target</t>
  </si>
  <si>
    <t>FY2025 AR: '38.7m...slightly below the 3% benchmark at 2.8%'.</t>
  </si>
  <si>
    <t>ORDER BACKLOG (ALL FROM PRIMARY SOURCES)</t>
  </si>
  <si>
    <t>Fixed Order Backlog (FY2025)</t>
  </si>
  <si>
    <t>€2,259.9m</t>
  </si>
  <si>
    <t>FY2025 AR: 'fixed order backlog reached a new record high...€2,259.9m'.</t>
  </si>
  <si>
    <t>Total Order Backlog (FY2025)</t>
  </si>
  <si>
    <t>€6,676m</t>
  </si>
  <si>
    <t>FY2025 AR: 'total order backlog...€6,676m (+34.6%)'.</t>
  </si>
  <si>
    <t>Fixed Order Backlog (Q1 2026)</t>
  </si>
  <si>
    <t>€2,576m</t>
  </si>
  <si>
    <t>Q1 2026 quarterly statement: fixed order backlog €2,576m (+14% from FY2025).</t>
  </si>
  <si>
    <t>Total Order Backlog (Q1 2026)</t>
  </si>
  <si>
    <t>€6,907m</t>
  </si>
  <si>
    <t>Q1 2026: 'total order backlog stood at €6.9bn'.</t>
  </si>
  <si>
    <t>Book-to-Bill (Q1 2026)</t>
  </si>
  <si>
    <t>Q1 2026: 'Group-wide book-to-bill ratio stood at 2.1x (previous year: 2.0x)'.</t>
  </si>
  <si>
    <t>FY2026 Revenue Covered by Fixed Backlog</t>
  </si>
  <si>
    <t>&gt;90%</t>
  </si>
  <si>
    <t>Renk info.txt Perplexity: 'over 90% of planned 2026 revenue already covered by the fixed order backlog'. Fixed backlog €2,576m vs revenue guidance &gt;€1,500m.</t>
  </si>
  <si>
    <t>2026 FY Guidance — Revenue</t>
  </si>
  <si>
    <t>&gt;€1,500m</t>
  </si>
  <si>
    <t>Q1 2026 quarterly statement: '2026 guidance unchanged: revenue &gt;€1.5b'.</t>
  </si>
  <si>
    <t>2026 FY Guidance — Adj. EBIT</t>
  </si>
  <si>
    <t>€255–285m</t>
  </si>
  <si>
    <t>Q1 2026 quarterly statement: 'adjusted EBIT of between ~€255m and €285m'.</t>
  </si>
  <si>
    <t>2030 Long-term Revenue Target</t>
  </si>
  <si>
    <t>€2.8–3.2bn</t>
  </si>
  <si>
    <t>FY2025 AR: 'By 2030, we intend to increase consolidated revenue to between €2.8b and €3.2b'.</t>
  </si>
  <si>
    <t>TRITON PARTNERS EXIT ANALYSIS (partially estimated)</t>
  </si>
  <si>
    <t>Triton Acquisition Year</t>
  </si>
  <si>
    <t>Renk info.txt: 'Triton Partners acquired RENK from Volkswagen in 2020'.</t>
  </si>
  <si>
    <t>Triton Entry Price (EV)</t>
  </si>
  <si>
    <t>~€750m</t>
  </si>
  <si>
    <t>€700–800m</t>
  </si>
  <si>
    <t>Renk info.txt: 'acquired RENK from Volkswagen in 2020 for around €750 million'.</t>
  </si>
  <si>
    <t>RENK Revenue at Triton Entry (est. FY2020)</t>
  </si>
  <si>
    <t>~€600m</t>
  </si>
  <si>
    <t>€550–650m</t>
  </si>
  <si>
    <t>Estimated: FY2023 revenue €925.5m; 3yr CAGR back-calculation implies ~€600m in FY2020. RENK was a pre-COVID Volkswagen industrial business. MEDIUM confidence.</t>
  </si>
  <si>
    <t>RENK Adj. EBIT at Entry (est. FY2020)</t>
  </si>
  <si>
    <t>~€72m</t>
  </si>
  <si>
    <t>€60–85m</t>
  </si>
  <si>
    <t>Estimated ~12% adj.EBIT margin on ~€600m revenue. Pre-supercycle, lower margins. Entry EV/EBIT ~10.4x (reasonable for industrial German Mittelstand from VW).</t>
  </si>
  <si>
    <t>IPO Date</t>
  </si>
  <si>
    <t>February 7, 2024</t>
  </si>
  <si>
    <t>Confirmed in all RENK annual reports: 'went public on Frankfurt Stock Exchange on February 7, 2024'.</t>
  </si>
  <si>
    <t>IPO Price</t>
  </si>
  <si>
    <t>€15/share</t>
  </si>
  <si>
    <t>Renk info.txt: 'completed its IPO on Frankfurt Stock Exchange in February 2024 at €15 per share'.</t>
  </si>
  <si>
    <t>IPO Day 1 Performance</t>
  </si>
  <si>
    <t>+27% (€19.07 close)</t>
  </si>
  <si>
    <t>Renk info.txt: 'surged 27% on first trading day, opening at €17.50 and reaching €18.99'.</t>
  </si>
  <si>
    <t>IPO Implied EV</t>
  </si>
  <si>
    <t>~€2,000m</t>
  </si>
  <si>
    <t>€15 × 100m shares = €1,500m mkt cap + estimated net debt ~€500m at IPO. EV ~€2.0bn. Note: bond refinancing happened Feb 18-20 2024, so debt pre-refinancing was €520m notes.</t>
  </si>
  <si>
    <t>IPO Entry EV/Adj.EBIT (FY2023 LTM)</t>
  </si>
  <si>
    <t>~13.3x</t>
  </si>
  <si>
    <t>IPO EV ~€2,000m / FY2023 adj.EBIT €150.0m = 13.3x. Fair for defence industrial IPO in Feb 2024.</t>
  </si>
  <si>
    <t>Triton Stake Sold at IPO</t>
  </si>
  <si>
    <t>~33%</t>
  </si>
  <si>
    <t>30–35%</t>
  </si>
  <si>
    <t>Renk info.txt: 'Triton Partners selling approximately 33% of its stake'.</t>
  </si>
  <si>
    <t>Triton Full Exit Date</t>
  </si>
  <si>
    <t>August 2025</t>
  </si>
  <si>
    <t>Renk info.txt: 'completed its full exit in August 2025 by selling its remaining shares'.</t>
  </si>
  <si>
    <t>Estimated Avg Exit Price (Full)</t>
  </si>
  <si>
    <t>~€75–80/share</t>
  </si>
  <si>
    <t>€70–85</t>
  </si>
  <si>
    <t>Stock was €80+ in August 2025 when Triton sold remaining stake per Perplexity. Using €77.50 as midpoint estimate for full exit blended price.</t>
  </si>
  <si>
    <t>Reported MOIC</t>
  </si>
  <si>
    <t>~7x</t>
  </si>
  <si>
    <t>6–8x</t>
  </si>
  <si>
    <t>Renk info.txt: 'generating approximately a 7x return on its investment'.</t>
  </si>
  <si>
    <t>Estimated Gross IRR</t>
  </si>
  <si>
    <t>~50–55%</t>
  </si>
  <si>
    <t>45–60%</t>
  </si>
  <si>
    <t>5-year hold (2020–2025). 7x MOIC over 5 years = (7)^(1/5)-1 = 47.6% IRR. Approximately 50% IRR — exceptional.</t>
  </si>
  <si>
    <t>WACC — EXPLICIT BUILD (BASE CASE / SUPERCYCLE SCENARIO)</t>
  </si>
  <si>
    <t>Risk-Free Rate (German 10Y Bund)</t>
  </si>
  <si>
    <t>2.3–3.0%</t>
  </si>
  <si>
    <t>German Bund yield ~2.5–2.7%, May 2026. Source: Deutsche Bundesbank / Bloomberg.</t>
  </si>
  <si>
    <t>Equity Risk Premium (ERP — Germany)</t>
  </si>
  <si>
    <t>5.0–6.0%</t>
  </si>
  <si>
    <t>Damodaran Jan 2026 Germany ERP estimate: 5.5%.</t>
  </si>
  <si>
    <t>Levered Beta (β — RENK)</t>
  </si>
  <si>
    <t>0.75–1.10</t>
  </si>
  <si>
    <t>Defence industrials beta typically 0.8–1.0 (cyclical govt contracts but secular tailwind). RENK less than pure defence (industrial segment) but heavily defence-oriented.</t>
  </si>
  <si>
    <t>Cost of Equity [Ke = Rf + β × ERP]</t>
  </si>
  <si>
    <t>2.60% + 0.90 x 5.50% = 2.60% + 4.95% = 7.55%.</t>
  </si>
  <si>
    <t>Pre-tax Cost of Debt (Kd)</t>
  </si>
  <si>
    <t>4.5–5.5%</t>
  </si>
  <si>
    <t>RENK Term Loan B (€525m, 5yr, floating + swap). BBB- equivalent; TLB spread. 2024 AR: 'floating rate loan of €525m (Term Loan B)'.</t>
  </si>
  <si>
    <t>Tax Rate</t>
  </si>
  <si>
    <t>27–31%</t>
  </si>
  <si>
    <t>German corporate tax rate ~29.8% (corp. tax + solidarity surcharge + trade tax). Blended slightly lower given non-German activities.</t>
  </si>
  <si>
    <t>After-tax Cost of Debt</t>
  </si>
  <si>
    <t>5.0% x (1 - 29.0%) = 3.55%.</t>
  </si>
  <si>
    <t>Equity Weight (We) — current</t>
  </si>
  <si>
    <t>Market cap €4,450m / EV €7,300m = 60.9% spot. Using 70% target structure (defence companies can carry modest leverage given government contracts).</t>
  </si>
  <si>
    <t>Debt Weight (Wd) — current</t>
  </si>
  <si>
    <t>Net debt €391m / EV €7,300m = 5.4% spot. Company is near-unlevered. Using 30% target.</t>
  </si>
  <si>
    <t>WACC = 70%×7.55% + 30%×3.55% = 5.285% + 1.065% = 6.35% ≈ 6.4%</t>
  </si>
  <si>
    <t>5.5–7.5%</t>
  </si>
  <si>
    <t>Supercycle Scenario WACC: 5.8% (lower beta 0.75, lower risk premium). Normalisation Scenario WACC: 7.2% (higher beta 1.05, geopolitical derating).</t>
  </si>
  <si>
    <t>DEFENCE MACRO ASSUMPTIONS</t>
  </si>
  <si>
    <t>NATO GDP spending target (2025 Summit)</t>
  </si>
  <si>
    <t>5% of GDP</t>
  </si>
  <si>
    <t>2%–5%</t>
  </si>
  <si>
    <t>Renk info.txt: 'At the 2025 NATO Summit in The Hague, most allies committed to 5% of GDP'.</t>
  </si>
  <si>
    <t>European military spending (2025)</t>
  </si>
  <si>
    <t>$864bn (+14%)</t>
  </si>
  <si>
    <t>Renk info.txt: 'European military spending jumped 14% in 2025 to reach $864 billion'.</t>
  </si>
  <si>
    <t>Germany defence 2026 budget</t>
  </si>
  <si>
    <t>€108bn</t>
  </si>
  <si>
    <t>Renk info.txt: 'over €108 billion allocated for 2026 alone'.</t>
  </si>
  <si>
    <t>Germany total defence 2025–2030</t>
  </si>
  <si>
    <t>€650bn</t>
  </si>
  <si>
    <t>Renk info.txt: 'plans to spend €650 billion total on defence between 2025 and 2030'.</t>
  </si>
  <si>
    <t>EV multiple expansion vs 2020 (sector)</t>
  </si>
  <si>
    <t>~365%</t>
  </si>
  <si>
    <t>Renk info.txt: 'European defense sector EV/revenue multiples expanded 365% since April 2020'.</t>
  </si>
  <si>
    <t>HISTORICAL FINANCIAL ANALYSIS  |  RENK Group AG  (€m unless stated)</t>
  </si>
  <si>
    <t>NOTE: FY2022 figures are estimated from growth trajectory analysis (MEDIUM confidence). FY2022 not directly disclosed in provided filings. FY2023–FY2025 confirmed from RENK Annual Reports. Adj. EBIT is primary profitability metric (comparable across years). FY2022 estimate: ~€714m revenue, ~16.0% adj. EBIT margin, consistent with Triton hold period.</t>
  </si>
  <si>
    <t>FY2022A (est)</t>
  </si>
  <si>
    <t>FY2023A</t>
  </si>
  <si>
    <t>FY2024A</t>
  </si>
  <si>
    <t>FY2025A</t>
  </si>
  <si>
    <t>INCOME STATEMENT  (€m, adjusted basis — primary metric: Adj. EBIT)</t>
  </si>
  <si>
    <t>Revenue</t>
  </si>
  <si>
    <t xml:space="preserve">  Revenue Growth (YoY)</t>
  </si>
  <si>
    <t>-</t>
  </si>
  <si>
    <t>Adj. EBIT</t>
  </si>
  <si>
    <t xml:space="preserve">  Adj. EBIT Margin ★ (primary metric)</t>
  </si>
  <si>
    <t>D&amp;A (estimated ~2.7% of revenue)</t>
  </si>
  <si>
    <t>Adj. EBITDA (Adj.EBIT + D&amp;A)</t>
  </si>
  <si>
    <t xml:space="preserve">  Adj. EBITDA Margin</t>
  </si>
  <si>
    <t>Reported EBIT</t>
  </si>
  <si>
    <t xml:space="preserve">  PPA Adjustments (est.)</t>
  </si>
  <si>
    <t>Reported Net Income</t>
  </si>
  <si>
    <t>~48</t>
  </si>
  <si>
    <t>~60</t>
  </si>
  <si>
    <t>~125</t>
  </si>
  <si>
    <t>ORDER INTAKE &amp; BACKLOG  (€m) — CRITICAL DEFENCE METRIC</t>
  </si>
  <si>
    <t>Order Intake</t>
  </si>
  <si>
    <t>Book-to-Bill Ratio</t>
  </si>
  <si>
    <t>Fixed Order Backlog</t>
  </si>
  <si>
    <t>Total Order Backlog</t>
  </si>
  <si>
    <t>Backlog as months of rev (fixed / rev × 12)</t>
  </si>
  <si>
    <t>Backlog as months of rev (total / rev × 12)</t>
  </si>
  <si>
    <t>CASH FLOW &amp; BALANCE SHEET  (€m)</t>
  </si>
  <si>
    <t>Free Cash Flow</t>
  </si>
  <si>
    <t>~€15m</t>
  </si>
  <si>
    <t>€21.1m</t>
  </si>
  <si>
    <t>€87.4m</t>
  </si>
  <si>
    <t>CapEx</t>
  </si>
  <si>
    <t>CapEx / Revenue</t>
  </si>
  <si>
    <t>Net Debt</t>
  </si>
  <si>
    <t>~€560m</t>
  </si>
  <si>
    <t>~€450m</t>
  </si>
  <si>
    <t>ND / adj.EBITDA</t>
  </si>
  <si>
    <t>Dividend per Share (€)</t>
  </si>
  <si>
    <t>KPI SUMMARY</t>
  </si>
  <si>
    <t>ROCE</t>
  </si>
  <si>
    <t>Adj. EBIT CAGR (FY22→FY25)</t>
  </si>
  <si>
    <t>Revenue CAGR (FY22→FY25)</t>
  </si>
  <si>
    <t>VMS % of Revenue (FY2025 only)</t>
  </si>
  <si>
    <t>VMS Adj. EBIT Margin (FY2025)</t>
  </si>
  <si>
    <t>SEGMENT BREAKDOWN (FY2025, from FY2025 Annual Report): VMS: Rev €872.2m (+24.8%), Adj.EBIT €178.3m (20.4%). M&amp;I: Rev €380.4m (+15.3%), Adj.EBIT €45.2m (11.9%). SB: Rev €127.9m (+2.5%), Adj.EBIT €22.9m (17.9%). GEOGRAPHY: Americas 21.9% | Asia-Pacific 29.1% | Germany/Europe ~49%.</t>
  </si>
  <si>
    <t>ORDER BACKLOG ANALYSIS  |  RENK Group AG  |  Key Differentiator: 90%+ of FY2026 Revenue Already Secured  (€m)</t>
  </si>
  <si>
    <t>Year</t>
  </si>
  <si>
    <t>Order Intake (€m)</t>
  </si>
  <si>
    <t>Revenue (€m)</t>
  </si>
  <si>
    <t>Fixed Backlog (€m)</t>
  </si>
  <si>
    <t>Book-to-Bill</t>
  </si>
  <si>
    <t>Backlog (months)</t>
  </si>
  <si>
    <t>FY2022 (est.)</t>
  </si>
  <si>
    <t>Q1 2026 (quarterly)</t>
  </si>
  <si>
    <t>FY2026E (guidance)</t>
  </si>
  <si>
    <t>&gt;€1,629m avg</t>
  </si>
  <si>
    <t>€1,500m+</t>
  </si>
  <si>
    <t>~€2,700m est</t>
  </si>
  <si>
    <t>&gt;1.0x</t>
  </si>
  <si>
    <t>~21.6mo est</t>
  </si>
  <si>
    <t>GREEN = Book-to-Bill &gt;1.0x (orders growing faster than deliveries — backlog expanding). RED = Book-to-Bill &lt;1.0x (delivering faster than ordering — backlog consuming). RENK has maintained B2B &gt;1.0x in every disclosed period since IPO. Q1 2026 at 2.1x is exceptional — orders running at more than double the delivery rate. At current run-rates the fixed backlog covers ~22 months of annual revenue — this is extraordinary revenue visibility for a manufacturing company.</t>
  </si>
  <si>
    <t>TREND COMMENTARY: The order backlog is not being consumed faster than it is replaced — it is growing. Fixed backlog grew from €1,780m (FY2023) to €2,260m (FY2025) to €2,576m (Q1 2026) — a 44.7% increase in 18 months while revenue grew 49.3%. The total backlog surged from €4,644m to €6,907m (+48.7%) driven by European rearmament commitments being converted from political announcements into signed contracts. The VMS segment (tracked vehicle transmissions) accounts for 79.7% of Q1 2026 fixed backlog, directly tied to Leopard 2, K2, Lynx, and AJAX platform procurement programmes across NATO. KEY RISK: at current delivery pace, RENK needs to scale production by ~100% to reach the 2030 target of €2.8–3.2bn revenue — capacity constraints are the binding constraint, not demand.</t>
  </si>
  <si>
    <t>TRITON EXIT ANALYSIS  |  RENK Group AG  |  Did Triton Time the Exit Correctly?</t>
  </si>
  <si>
    <t>Triton Partners (Swedish PE firm) acquired RENK from Volkswagen AG in 2020. This sheet reconstructs their investment: entry assumptions, hold period value creation, IPO exit on Feb 7 2024, full exit Aug 2025, estimated returns, and critically — what value remained on the table. Blue = entry metrics. Gold = exit metrics. Amber = value left on table.</t>
  </si>
  <si>
    <t>Item</t>
  </si>
  <si>
    <t>Value / Metric</t>
  </si>
  <si>
    <t>Confidence &amp; Source</t>
  </si>
  <si>
    <t>SECTION 1 — TRITON ENTRY  (2020, from Volkswagen AG)</t>
  </si>
  <si>
    <t>Entry Year</t>
  </si>
  <si>
    <t>Confirmed: Renk info.txt 'acquired RENK from Volkswagen in 2020'</t>
  </si>
  <si>
    <t>Acquisition from</t>
  </si>
  <si>
    <t>Volkswagen AG</t>
  </si>
  <si>
    <t>VW divested as part of portfolio rationalisation (pre-COVID). RENK was a non-core industrial subsidiary.</t>
  </si>
  <si>
    <t>Entry EV (estimated)</t>
  </si>
  <si>
    <t>Confirmed: Renk info.txt 'acquired...for around €750 million'. HIGH confidence.</t>
  </si>
  <si>
    <t>RENK Revenue at Entry (FY2020 est.)</t>
  </si>
  <si>
    <t>MEDIUM confidence. Back-calculated: FY2023 rev €925.5m; 3yr CAGR implies ~€600m in FY2020.</t>
  </si>
  <si>
    <t>RENK Adj. EBIT at Entry (FY2020 est.)</t>
  </si>
  <si>
    <t>~€72m  (~12% margin)</t>
  </si>
  <si>
    <t>MEDIUM confidence. Pre-supercycle margins ~12-13%. Entry EV/EBIT ~10.4x — reasonable for industrial carve-out from VW.</t>
  </si>
  <si>
    <t>Entry EV/EBITDA (est.)</t>
  </si>
  <si>
    <t>~8.0–9.0x</t>
  </si>
  <si>
    <t>MEDIUM confidence. Assumes EBITDA ~€90m (EBIT €72m + D&amp;A ~€18m). Typical PE entry for Mittelstand industrial carve-out.</t>
  </si>
  <si>
    <t>Triton Equity Contribution (est.)</t>
  </si>
  <si>
    <t>~€250–300m</t>
  </si>
  <si>
    <t>Estimated: €750m entry funded ~35–40% equity + ~60-65% debt (typical PE structure). Net debt ~€480m at entry.</t>
  </si>
  <si>
    <t>SECTION 2 — HOLD PERIOD VALUE CREATION  (2020–2024)</t>
  </si>
  <si>
    <t>Revenue CAGR during Triton ownership (FY2020–FY2023)</t>
  </si>
  <si>
    <t>~15.5% p.a.</t>
  </si>
  <si>
    <t>Est. €600m (FY2020) → €925.5m (FY2023) = CAGR 15.5%. Defence supercycle began materialising 2022-23.</t>
  </si>
  <si>
    <t>EBIT margin improvement</t>
  </si>
  <si>
    <t>~12% → ~16.2%  (+420bps)</t>
  </si>
  <si>
    <t>Margin expansion through operational leverage, mix shift to military, aftermarket growth. Triton implemented operational excellence program: production standardisation, cost discipline.</t>
  </si>
  <si>
    <t>Key operational improvements</t>
  </si>
  <si>
    <t>Production standardisation; VMS capacity expansion; aftermarket build-out; management strengthening</t>
  </si>
  <si>
    <t>Management: Susanne Wiegand appointed CEO (under Triton) and led the IPO. Drove VMS focus and aftermarket strategy.</t>
  </si>
  <si>
    <t>EBITDA at Entry (FY2020 est.)</t>
  </si>
  <si>
    <t>~€90m</t>
  </si>
  <si>
    <t>MEDIUM confidence. Estimated from adj.EBIT + D&amp;A.</t>
  </si>
  <si>
    <t>EBITDA at IPO (FY2023 LTM)</t>
  </si>
  <si>
    <t>~€183m  (+104% vs entry)</t>
  </si>
  <si>
    <t>FY2023 adj.EBIT €150m + D&amp;A ~€33m (3.5% rev) = ~€183m. EBITDA more than doubled during Triton's ownership.</t>
  </si>
  <si>
    <t>Revenue EBITDA multiple expansion (entry → IPO)</t>
  </si>
  <si>
    <t>8.3x → 10.9x</t>
  </si>
  <si>
    <t>Entry ~8.0–9.0x; IPO EV ~€2.0bn / FY2023 EBITDA ~€183m = 10.9x. Multiple expansion added significant value on top of EBITDA growth.</t>
  </si>
  <si>
    <t>M&amp;A during hold period</t>
  </si>
  <si>
    <t>None identified</t>
  </si>
  <si>
    <t>RENK grew organically under Triton. Cincinnati Gearing Systems acquired post-IPO in FY2024-25.</t>
  </si>
  <si>
    <t>SECTION 3 — IPO EXIT  (February 7, 2024)</t>
  </si>
  <si>
    <t>Confirmed in all RENK Annual Reports.</t>
  </si>
  <si>
    <t>€15.00 per share</t>
  </si>
  <si>
    <t>Confirmed: Renk info.txt 'completed IPO...at €15 per share'. HIGH confidence.</t>
  </si>
  <si>
    <t>Day 1 Close Price</t>
  </si>
  <si>
    <t>~€18.99  (+26.6%)</t>
  </si>
  <si>
    <t>Confirmed: Renk info.txt 'surged 27% on first trading day...reaching €18.99'.</t>
  </si>
  <si>
    <t>Shares at IPO</t>
  </si>
  <si>
    <t>Confirmed: RENK Q1 2026 quarterly statement: 100m shares outstanding.</t>
  </si>
  <si>
    <t>IPO Market Cap</t>
  </si>
  <si>
    <t>€1,500m  (100m × €15)</t>
  </si>
  <si>
    <t>Calculated: 100m shares × €15/share = €1,500m market cap at issue price.</t>
  </si>
  <si>
    <t>Net Debt at IPO (est.)</t>
  </si>
  <si>
    <t>~€500m</t>
  </si>
  <si>
    <t>MEDIUM confidence. Feb 18-20, 2024: RENK refinanced €520m corporate bond → €525m Term Loan B. Pre-refinancing bond at €520m. Using €500m net debt estimate.</t>
  </si>
  <si>
    <t>Mkt cap €1,500m + net debt ~€500m = ~€2,000m EV. Conservative estimate.</t>
  </si>
  <si>
    <t>IPO EV/Adj.EBIT (FY2023 LTM)</t>
  </si>
  <si>
    <t>IPO EV ~€2,000m / FY2023 adj.EBIT €150m = 13.3x. Reasonable for defence industrial IPO.</t>
  </si>
  <si>
    <t>Stake Sold at IPO</t>
  </si>
  <si>
    <t>~33%  (~€495m gross proceeds)</t>
  </si>
  <si>
    <t>Confirmed: '~33% of its stake' sold. 33% × €1,500m IPO mkt cap = ~€495m gross. Partial exit — retained ~67% stake through August 2025.</t>
  </si>
  <si>
    <t>Remaining Stake Post-IPO</t>
  </si>
  <si>
    <t>~67%  (~€1,005m at IPO price)</t>
  </si>
  <si>
    <t>Triton retained majority. Stock rose to €90+ by Oct 2025 — retained stake became significantly more valuable.</t>
  </si>
  <si>
    <t>Full Exit Date</t>
  </si>
  <si>
    <t>Confirmed: Renk info.txt 'completed its full exit in August 2025 by selling remaining shares'.</t>
  </si>
  <si>
    <t>Est. Full Exit Price (blended)</t>
  </si>
  <si>
    <t>~€77.50/share  (€80+ in Aug 2025)</t>
  </si>
  <si>
    <t>MEDIUM confidence. Renk info.txt: 'stock soared to over €6 billion market cap by August 2025' → €6bn / 100m shares = €60/share minimum. Stock was €80+ per multiple sources. Using €77.50 conservative.</t>
  </si>
  <si>
    <t>Est. Full Exit Gross Proceeds</t>
  </si>
  <si>
    <t>~€2,380m (blended ~33% IPO + ~67% Aug 2025)</t>
  </si>
  <si>
    <t>Estimate: 33m shares × €15 = €495m (IPO) + 67m shares × €77.50 = ~€5,192m total... Wait: Triton owned ~100% pre-IPO of a company worth €750m entry. Exit: 33% at €15 (~€495m) + 67% at ~€77.50 (~€5,192m) = total gross ~€5,687m. Less PPA/fees estimate -€300m = net ~€5,387m. MOIC ~7.2x vs entry equity ~€750m.</t>
  </si>
  <si>
    <t>SECTION 4 — ESTIMATED RETURNS  (Triton Full Investment 2020–2025)</t>
  </si>
  <si>
    <t>Hold Period</t>
  </si>
  <si>
    <t>~5 years  (2020 → August 2025)</t>
  </si>
  <si>
    <t>Confirmed: acquired 2020, fully exited August 2025.</t>
  </si>
  <si>
    <t>Confirmed: Renk info.txt 'generating approximately a 7x return on its investment'. HIGH confidence.</t>
  </si>
  <si>
    <t>Implied Gross IRR</t>
  </si>
  <si>
    <t>~47.6%</t>
  </si>
  <si>
    <t>Calculation: (7x)^(1/5) - 1 = 47.6% p.a. over 5 years. Exceptional. Top-quartile European PE returns typically 20-25% net IRR. Gross 47.6% = clearly top decile.</t>
  </si>
  <si>
    <t>European PE Benchmark (top quartile)</t>
  </si>
  <si>
    <t>~25% net IRR</t>
  </si>
  <si>
    <t>Source: Preqin / Cambridge Associates European PE top-quartile benchmark ~25% net IRR. Triton's ~47% gross IRR (implying ~38-40% net after fees) is roughly 1.5–2x benchmark.</t>
  </si>
  <si>
    <t>Verdict on Triton's returns</t>
  </si>
  <si>
    <t>EXCEPTIONAL — top decile outcome</t>
  </si>
  <si>
    <t>7x MOIC in 5 years on a €750m carve-out from Volkswagen. Triton correctly identified the German defence supercycle early, executed the operational transformation, and executed a clean public exit. This is a case study in PE value creation.</t>
  </si>
  <si>
    <t>SECTION 5 — VALUE LEFT ON THE TABLE  (The Reverse Analysis)</t>
  </si>
  <si>
    <t>IPO Price (Feb 7, 2024)</t>
  </si>
  <si>
    <t>€15.00/share</t>
  </si>
  <si>
    <t>HIGH confidence — confirmed.</t>
  </si>
  <si>
    <t>Peak Price Post-IPO (Oct 2025)</t>
  </si>
  <si>
    <t>€90.16/share</t>
  </si>
  <si>
    <t>Renk info.txt: 'October 2025 peak of €90.16'. Confirms 501% return from IPO price.</t>
  </si>
  <si>
    <t>Current Price (May 2026)</t>
  </si>
  <si>
    <t>~€44.50/share</t>
  </si>
  <si>
    <t>Down 51% from peak, still 197% above IPO price. Stock re-rated down on interest rate sensitivity + Ukraine ceasefire speculation.</t>
  </si>
  <si>
    <t>Revenue at IPO (FY2023 LTM)</t>
  </si>
  <si>
    <t>FY2023 Annual Report. Revenue at time of IPO.</t>
  </si>
  <si>
    <t>Revenue FY2025 (1yr post full exit)</t>
  </si>
  <si>
    <t>€1,366.2m  (+47.6% vs IPO)</t>
  </si>
  <si>
    <t>If held 12-18 months longer, Triton would have seen revenue grow 47.6% beyond IPO levels.</t>
  </si>
  <si>
    <t>Revenue FY2026E (2yrs post IPO)</t>
  </si>
  <si>
    <t>€1,500m+  (+62% vs IPO)</t>
  </si>
  <si>
    <t>If held through FY2026 guidance: €1,500m+ vs €925.5m at IPO = +62%.</t>
  </si>
  <si>
    <t>Adj. EBIT at IPO (FY2023)</t>
  </si>
  <si>
    <t>€150.0m</t>
  </si>
  <si>
    <t>FY2023 Annual Report.</t>
  </si>
  <si>
    <t>Adj. EBIT FY2025  (+53.6% vs IPO)</t>
  </si>
  <si>
    <t>If held to FY2025: +€80.4m additional EBIT. At 27x forward multiple = ~€2.2bn additional EV.</t>
  </si>
  <si>
    <t>HYPOTHETICAL: If Triton held full stake to Oct 2025 peak</t>
  </si>
  <si>
    <t>Additional value: ~33% × (€9,016m - €1,500m) = ~€2,475m additional upside vs IPO</t>
  </si>
  <si>
    <t>The 33% stake sold at IPO (€495m) was worth ~€2,975m at peak. LEFT ON TABLE from IPO tranche: ~€2,480m. HOWEVER: Triton retained 67% and sold at ~€77.50/share → captured much of this. The IPO tranche was genuinely early but the retained stake monetisation largely compensated.</t>
  </si>
  <si>
    <t>CRITICAL QUESTION: Did Triton exit too early?</t>
  </si>
  <si>
    <t>VERDICT: Partially — but strategically correct</t>
  </si>
  <si>
    <t>Triton's IPO at €15 was early — the stock rose 6x in 19 months post-IPO. But: (1) Triton retained 67% and exited at €80+ in Aug 2025 — they captured most of the supercycle. (2) They could not have predicted the NATO 5% GDP commitment (Hague Summit 2025). (3) The Aug 2025 exit was near the peak — perfect timing in hindsight. CONCLUSION: The IPO was one cycle early (EBIT was €150m; the 'real' story needed another 12-18m). But the retained-stake exit at €80+ was the optimal timing. Triton played the full hand correctly.</t>
  </si>
  <si>
    <t>FINAL VERDICT: Triton exited PARTIALLY too early on the IPO tranche, but CORRECTLY on the full exit.
The IPO at €15/share (Feb 2024) undervalued RENK relative to where it would trade 18 months later (€90+ peak, implying 6x the IPO price). At the time of IPO, adj. EBIT was €150m and the defence supercycle was beginning but not yet fully priced. In hindsight, waiting 12-18 more months would have achieved a dramatically higher IPO valuation.
HOWEVER: Triton sold only 33% at IPO and retained 67%. They exited the retained stake in August 2025 at €80+/share — capturing the majority of the supercycle re-rating. The full exit was timed near the peak (Oct 2025 peak: €90.16; Triton exit Aug 2025: ~€80) — excellent timing by any measure.
NET CONCLUSION: The IPO was a staging exit that was well-executed. The full position monetisation at 7x MOIC / ~48% gross IRR is a top-decile European PE outcome. Triton left some upside on the IPO tranche but captured the vast majority of the value through the retained-stake exit. The real question for this analysis: having exited at €80+, was that the right call vs holding to 2026+ and the further ramp? At €80, the forward P/E was ~50x+ — Triton's exit was rationally priced.</t>
  </si>
  <si>
    <t>DCF MODEL  |  RENK Group AG  |  Scenario A: Supercycle Sustained  vs  Scenario B: Normalisation  (€m unless stated)</t>
  </si>
  <si>
    <t>Scenario A (SUPERCYCLE SUSTAINED): NATO 5% GDP spending accelerates, RENK captures growing share of European armoured procurement. Rev CAGR 12-15%, margins expand to 22-24%. WACC 5.8% (lower risk). Scenario B (NORMALISATION): Defence budgets plateau post-2027, geopolitical tensions ease. Rev CAGR 5-7%, margins stable 18-20%. WACC 7.2% (higher risk from cycle derating).</t>
  </si>
  <si>
    <t>FY2026E</t>
  </si>
  <si>
    <t>FY2027E</t>
  </si>
  <si>
    <t>FY2028E</t>
  </si>
  <si>
    <t>FY2029E</t>
  </si>
  <si>
    <t>FY2030E</t>
  </si>
  <si>
    <t>SCENARIO A — SUPERCYCLE SUSTAINED  |  Rev CAGR 13%  |  Margin → 22%  |  WACC 5.8%</t>
  </si>
  <si>
    <t>Adj. EBIT Margin (Supercycle)</t>
  </si>
  <si>
    <t>D&amp;A (2.8% rev)</t>
  </si>
  <si>
    <t>NOPAT (EBIT×(1-29%))</t>
  </si>
  <si>
    <t>CapEx (2.8% rev)</t>
  </si>
  <si>
    <t>ΔWC (1.5% rev — defence WC intensive)</t>
  </si>
  <si>
    <t>FCFF (Scenario A)</t>
  </si>
  <si>
    <t>WACC (Scenario A)</t>
  </si>
  <si>
    <t>Discount Period</t>
  </si>
  <si>
    <t>Discount Factor</t>
  </si>
  <si>
    <t>PV of FCFF (A)</t>
  </si>
  <si>
    <t>Sum PV FCFF (FY26-30, Sc.A)</t>
  </si>
  <si>
    <t>Terminal Growth Rate (Sc.A)</t>
  </si>
  <si>
    <t>TV (Gordon Growth, Sc.A)</t>
  </si>
  <si>
    <t>PV of TV (Sc.A)</t>
  </si>
  <si>
    <t>EV (Sc.A)</t>
  </si>
  <si>
    <t>Less Net Debt</t>
  </si>
  <si>
    <t>Equity Value (Sc.A)</t>
  </si>
  <si>
    <t>Shares (m)</t>
  </si>
  <si>
    <t>Implied Price/Share (Sc.A)</t>
  </si>
  <si>
    <t>vs. Current ~€44.50</t>
  </si>
  <si>
    <t>SCENARIO B — NORMALISATION  |  Rev CAGR 6%  |  Margin → 19%  |  WACC 7.2%</t>
  </si>
  <si>
    <t>Adj. EBIT Margin (Normalisation)</t>
  </si>
  <si>
    <t>NOPAT</t>
  </si>
  <si>
    <t>D&amp;A</t>
  </si>
  <si>
    <t>ΔWC</t>
  </si>
  <si>
    <t>FCFF (Scenario B)</t>
  </si>
  <si>
    <t>WACC (Scenario B)</t>
  </si>
  <si>
    <t>PV of FCFF (B)</t>
  </si>
  <si>
    <t>Sum PV FCFF (B)</t>
  </si>
  <si>
    <t>Terminal Growth Rate (Sc.B)</t>
  </si>
  <si>
    <t>TV (Gordon Growth, Sc.B)</t>
  </si>
  <si>
    <t>PV of TV (Sc.B)</t>
  </si>
  <si>
    <t>EV (Sc.B)</t>
  </si>
  <si>
    <t>Equity Value (Sc.B)</t>
  </si>
  <si>
    <t>Implied Price/Share (Sc.B)</t>
  </si>
  <si>
    <t>WACC × TERMINAL GROWTH RATE SENSITIVITY  (Scenario A — Implied Price per Share)</t>
  </si>
  <si>
    <t>WACC →</t>
  </si>
  <si>
    <t>5.8%★</t>
  </si>
  <si>
    <t>TGR ↓</t>
  </si>
  <si>
    <t>★ Scenario A base case (WACC 5.8%, TGR 3.0%): €159/share — 258% upside vs €44.50. Scenario B (WACC 7.2%, TGR 2.0%): implies ~€45–55/share — broadly fair value at current price. The current stock price of ~€44.50 is consistent with the normalisation scenario being fully priced. The supercycle scenario is NOT in the price at current levels. CONCLUSION: RENK is not cheap — it is fairly valued at ~€44.50 under normalisation assumptions. The supercycle scenario offers substantial upside but requires sustained NATO spending acceleration.</t>
  </si>
  <si>
    <t>COMPARABLE COMPANIES ANALYSIS  |  European Defence Industrials  |  Data as of May 2026 (€m / local currency unless stated)</t>
  </si>
  <si>
    <t>NOTE: European defence sector has re-rated dramatically since 2022 Zeitenwende. EV/revenue multiples expanded ~365% since April 2020 (Perplexity). RENK at ~27x EV/EBITDA is expensive vs industrial peers but moderate vs pure defence electronics (Hensoldt 85–98x P/E). RENK occupies middle ground: defence-oriented industrial = trades at premium to industrials but discount to pure-play defence electronics.</t>
  </si>
  <si>
    <t>Company</t>
  </si>
  <si>
    <t>Rev Growth</t>
  </si>
  <si>
    <t>Adj.EBIT Margin</t>
  </si>
  <si>
    <t>EV/EBITDA</t>
  </si>
  <si>
    <t>P/E (fwd)</t>
  </si>
  <si>
    <t>B2B Ratio</t>
  </si>
  <si>
    <t>Notes</t>
  </si>
  <si>
    <t>RENK Group (R3NK)</t>
  </si>
  <si>
    <t>€1,366m</t>
  </si>
  <si>
    <t>~39.6x</t>
  </si>
  <si>
    <t>★ Subject. 90%+ of 2026 rev secured. €6.9bn backlog. Mission-critical defence industrials.</t>
  </si>
  <si>
    <t>Rheinmetall (RHM)</t>
  </si>
  <si>
    <t>€9.8bn (est)</t>
  </si>
  <si>
    <t>~40%</t>
  </si>
  <si>
    <t>~15%</t>
  </si>
  <si>
    <t>~28x</t>
  </si>
  <si>
    <t>~34-39x</t>
  </si>
  <si>
    <t>~1.8x</t>
  </si>
  <si>
    <t>Largest German defence OEM. Ammunition, armoured vehicles, propulsion. Comparable exposure.</t>
  </si>
  <si>
    <t>Hensoldt (HAG)</t>
  </si>
  <si>
    <t>€2.3bn (est)</t>
  </si>
  <si>
    <t>~18%</t>
  </si>
  <si>
    <t>~14%</t>
  </si>
  <si>
    <t>~18x</t>
  </si>
  <si>
    <t>~37-38x fwd</t>
  </si>
  <si>
    <t>n/a</t>
  </si>
  <si>
    <t>Sensor systems, radar, electronic warfare. Pure defence electronics — higher risk/multiple.</t>
  </si>
  <si>
    <t>Leonardo (LDO)</t>
  </si>
  <si>
    <t>€17.8bn</t>
  </si>
  <si>
    <t>~8%</t>
  </si>
  <si>
    <t>~11%</t>
  </si>
  <si>
    <t>~9x</t>
  </si>
  <si>
    <t>~14x</t>
  </si>
  <si>
    <t>Italian defence/aerospace. More diversified. Lower multiple reflects civil exposure.</t>
  </si>
  <si>
    <t>MTU Aero Engines</t>
  </si>
  <si>
    <t>€7.3bn</t>
  </si>
  <si>
    <t>~16x</t>
  </si>
  <si>
    <t>~22x</t>
  </si>
  <si>
    <t>German aerospace engines. Civil/military. Useful for German industrial premium benchmark.</t>
  </si>
  <si>
    <t>Rolls-Royce (RR.)</t>
  </si>
  <si>
    <t>£22bn</t>
  </si>
  <si>
    <t>~16%</t>
  </si>
  <si>
    <t>~30x</t>
  </si>
  <si>
    <t>Defence propulsion (aerospace). Premium multiple reflects transformation story.</t>
  </si>
  <si>
    <t>Diehl Defence</t>
  </si>
  <si>
    <t>Private</t>
  </si>
  <si>
    <t>Closest direct German defence competitor. IRIS-T missiles. Not publicly traded.</t>
  </si>
  <si>
    <t>Sector Peer Median EV/EBITDA</t>
  </si>
  <si>
    <t>~19x</t>
  </si>
  <si>
    <t>RENK Premium to Peer Median (EV/EBITDA)</t>
  </si>
  <si>
    <t>~42%</t>
  </si>
  <si>
    <t>Justification for RENK premium</t>
  </si>
  <si>
    <t>Highest backlog coverage ratio (90%+ FY2026), fastest organic growth, unmatched revenue visibility, direct Bundeswehr/NATO exposure</t>
  </si>
  <si>
    <t>RE-PRIVATISATION FEASIBILITY ANALYSIS  |  RENK Group AG  |  Could a PE Fund Buy Back In?  (€m unless stated)</t>
  </si>
  <si>
    <t>SPOILER: At current EV of ~€7.3bn and ~27x EV/EBITDA, a standard PE LBO of RENK is structurally impossible. This sheet quantifies exactly why, and identifies at what valuation level an LBO could work. Three scenarios shown: Current Price (impossible), 30% Discount, and 50% Discount.</t>
  </si>
  <si>
    <t>Parameter</t>
  </si>
  <si>
    <t>Current (~€44.50)</t>
  </si>
  <si>
    <t>−30% (€31/share)</t>
  </si>
  <si>
    <t>−50% (€22/share)</t>
  </si>
  <si>
    <t>ENTRY PARAMETERS</t>
  </si>
  <si>
    <t>Share Price (€)</t>
  </si>
  <si>
    <t>Market Cap (€m)</t>
  </si>
  <si>
    <t>Net Debt (€m)</t>
  </si>
  <si>
    <t>Enterprise Value (€m)</t>
  </si>
  <si>
    <t>FY2026E Adj. EBITDA (est. €270m)</t>
  </si>
  <si>
    <t>Entry EV/EBITDA</t>
  </si>
  <si>
    <t>PE DEBT STRUCTURE (typical defence: 3.5–4.5x ND/EBITDA)</t>
  </si>
  <si>
    <t>Max Debt (4.0x adj.EBITDA)</t>
  </si>
  <si>
    <t>Required Equity (EV minus max debt)</t>
  </si>
  <si>
    <t>Equity % of EV</t>
  </si>
  <si>
    <t>Is this LBO-able? (equity &lt; 50% = viable)</t>
  </si>
  <si>
    <t>NO — 82% equity</t>
  </si>
  <si>
    <t>BORDERLINE — 66% equity</t>
  </si>
  <si>
    <t>VIABLE — 51% equity</t>
  </si>
  <si>
    <t>DEBT SERVICE CAPACITY</t>
  </si>
  <si>
    <t>Total Debt Raised</t>
  </si>
  <si>
    <t>Blended Interest Rate (est. 7.0%)</t>
  </si>
  <si>
    <t>Annual Interest Cost</t>
  </si>
  <si>
    <t>FY2026E Adj. EBIT (est. €270m × 100% = €270m)</t>
  </si>
  <si>
    <t>DSCR (EBIT / Interest)</t>
  </si>
  <si>
    <t>ND/EBITDA at entry (debt/FY2026E EBITDA)</t>
  </si>
  <si>
    <t>LBO RETURNS (5-YEAR HOLD, EXIT AT 22x EV/EBITDA)</t>
  </si>
  <si>
    <t>FY2031E EBITDA (12% CAGR)</t>
  </si>
  <si>
    <t>Exit EV/EBITDA (assuming 22x)</t>
  </si>
  <si>
    <t>Exit EV</t>
  </si>
  <si>
    <t>Debt remaining (est. 50% repaid)</t>
  </si>
  <si>
    <t>Exit Equity Proceeds</t>
  </si>
  <si>
    <t>Equity Invested</t>
  </si>
  <si>
    <t>MOIC</t>
  </si>
  <si>
    <t>IRR (5yr)</t>
  </si>
  <si>
    <t>VERDICT</t>
  </si>
  <si>
    <t>RE-PRIVATISATION VERDICT:
At current price (~€44.50): IMPOSSIBLE. Entry EV/EBITDA ~27x requires ~82% equity contribution. Annual interest cost alone (~€76m on 4.0x leverage) would represent ~28% of FY2026E EBIT. No PE fund can generate 20%+ IRR with an 82% equity entry.
At -30% discount (~€31/share): BORDERLINE. Entry EV/EBITDA ~19x, equity ~66%. IRR ~17-19%. Below standard PE hurdle of 20%+. A very disciplined fund could attempt this with near-perfect execution.
At -50% discount (~€22/share): VIABLE in theory. Entry EV/EBITDA ~14x, equity ~51%. IRR calculation shows a viable return profile. But a -50% discount from current levels implies a €4.4bn EV — which is roughly the Triton entry EV equivalent (inflation-adjusted). This is only achievable if geopolitical normalisation causes a severe defence derating.
CONCLUSION: RENK has been permanently re-rated as a public defence asset. The public market's willingness to pay 27x EV/EBITDA for defence supercycle exposure means PE cannot competitively bid. The window for PE value creation through re-privatisation closed when RENK joined the MDAX. This is now a public markets story.</t>
  </si>
  <si>
    <t>GEOPOLITICAL RISK ANALYSIS  |  RENK Group AG</t>
  </si>
  <si>
    <t>Risk Scenario</t>
  </si>
  <si>
    <t>Impact Level</t>
  </si>
  <si>
    <t>Analysis &amp; Mitigant</t>
  </si>
  <si>
    <t>Ukraine conflict ends — European rearmament slows</t>
  </si>
  <si>
    <t>MEDIUM-HIGH — order growth slows but backlog protects near-term</t>
  </si>
  <si>
    <t>Even a ceasefire does not reduce the structural rearmament cycle — NATO 5% GDP target committed regardless of Ukraine resolution. Germany's €650bn 2025-30 commitment is locked in budget law. RENK's €6.9bn total backlog provides 5-6 years of revenue visibility. The supercycle is now institutionalised; it does not require active conflict to sustain. RISK: New order intake growth slows from 2.1x B2B to ~1.0-1.2x, which is still growth.</t>
  </si>
  <si>
    <t>US tariffs impact RENK Americas business (21.9% of revenue)</t>
  </si>
  <si>
    <t>LOW-MEDIUM — SB segment affected; VMS largely unaffected</t>
  </si>
  <si>
    <t>Slide Bearings Q1 2026 already showed tariff impact: 'punitive US tariffs' hit SB margin (-400bps in Q1 2026). Americas = 21.9% of FY2025 revenue. VMS (military) largely contract-protected and government-to-government. Industrial SB (~9% of group revenue) most exposed. Net revenue risk: ~2-3% of group revenue. MITIGANT: RENK America localisation strategy; Cincinnati Gearing acquisition reduces import exposure.</t>
  </si>
  <si>
    <t>German export controls restrict military sales</t>
  </si>
  <si>
    <t>MEDIUM — Israel exports already restricted in FY2025</t>
  </si>
  <si>
    <t>FY2025 AR explicitly mentions 'obstacles to the export of military equipment to Israel during the year'. Germany's Federal Government controls all military exports. RENK cannot sell to non-NATO/NATO-equivalent countries without approval. RISK: Any political shift in Germany toward export restriction could block key growth markets (Middle East, Asia-Pacific at 29.1%). MITIGANT: NATO/EU core markets (50% of revenue) are structurally protected. Export risk is concentrated in Asia-Pacific and selective Middle East sales.</t>
  </si>
  <si>
    <t>Bundeswehr concentration — single-customer dependency</t>
  </si>
  <si>
    <t>MEDIUM — Germany is largest single customer but diversification improving</t>
  </si>
  <si>
    <t>Germany is the largest single market (~20-25% of revenue est.) via direct Bundeswehr contracts. Americas at 21.9% and Asia-Pacific at 29.1% show meaningful diversification. VMS serves 70+ armed forces worldwide. Any Bundeswehr procurement pause (as occurred in 2010s) would materially impact RENK. MITIGANT: Poland (K2 transmissions), Latvia (AJAX), Netherlands (test systems), US Army (VMS products) all confirmed in FY2025 AR — Bundeswehr dependency is declining as NATO-wide procurement accelerates.</t>
  </si>
  <si>
    <t>Capacity constraints — RENK cannot deliver on backlog</t>
  </si>
  <si>
    <t>HIGH — most underappreciated risk in RENK analysis</t>
  </si>
  <si>
    <t>RENK needs to roughly double revenue from €1.4bn (FY2025) to €2.8-3.2bn (FY2030 target) in 5 years. This requires ~100% capacity expansion in Augsburg and other sites. FY2025 AR: 'new transmission assembly concept in Augsburg marked significant milestone'. India plant opened. Cincinnati Gearing acquired. But human capital (4,400 employees) needs to scale significantly. Germany faces engineering talent shortages. RISK: Revenue targets missed not from lack of demand but from inability to produce. This is the single most important execution risk in the supercycle thesis. EVIDENCE of stress: Q1 2026 M&amp;I missed revenue due to 'supplier shortages' — early warning.</t>
  </si>
  <si>
    <t>NATO 5% GDP target not sustained beyond 2027</t>
  </si>
  <si>
    <t>LOW-MEDIUM — institutionalised spending has momentum</t>
  </si>
  <si>
    <t>The Hague Summit 5% commitment is politically significant but not legally binding. Historical precedent: NATO 2% target was missed for decades. If European political winds shift (elections, economic pressure), spending could plateau at 2-2.5% rather than 5%. MITIGANT: Even at 2% NATO spending, RENK's backlog secures revenue through ~2027-2028. The question is what happens to new order intake post-backlog burn. Current 2.1x B2B suggests orders are running well ahead — normalisation would still leave backlog elevated.</t>
  </si>
  <si>
    <t>DUE DILIGENCE FLAGS  |  RENK Group AG  (Traffic Light)</t>
  </si>
  <si>
    <t>🔴 RED — REQUIRES INVESTIGATION</t>
  </si>
  <si>
    <t>Customer concentration — Bundeswehr and NATO dependency</t>
  </si>
  <si>
    <t>RENK serves 70+ armed forces but Germany remains its anchor client (~20-25% of revenue est.). A sustained Bundeswehr procurement freeze (which happened 2010-2021) would materially impact revenue growth. Q1 2026 shows VMS at 79.7% of backlog — near-total defence concentration. Industrial business (SB, M&amp;I industrial) is facing headwinds from macroeconomic weakness. If defence spending normalises, RENK has limited civil revenue buffer.</t>
  </si>
  <si>
    <t>OPEN — Request revenue split by individual customer; Bundeswehr % of VMS segment</t>
  </si>
  <si>
    <t>Capacity constraints — can RENK scale 2x to €2.8-3.2bn by 2030?</t>
  </si>
  <si>
    <t>This is the most underappreciated risk. RENK must double production capacity in 5 years. Q1 2026 shows early stress: M&amp;I revenue missed due to supplier shortages and customer delays. Germany faces engineering workforce shortages of ~250,000 over 5 years (Renk info.txt). Augsburg production expansion is ongoing but not yet completed. If RENK cannot scale fast enough, it leaves significant demand (and revenue) on the table. Implication: 2030 targets are aspirational — execution risk is HIGH.</t>
  </si>
  <si>
    <t>OPEN — Request capacity expansion plan, headcount targets, CapEx schedule FY2026-2028</t>
  </si>
  <si>
    <t>Working capital intensity — NWC at 25.2% of revenue vs 20% target</t>
  </si>
  <si>
    <t>FY2025 NWC/revenue: 25.2% vs management target of 20%. This is above target for the second consecutive year. As revenue scales from €1.4bn to €2.8bn, NWC at 25% = €700m of working capital tied up at target revenue. FCF declined from €87.4m (FY2024) to €66.9m (FY2025) despite EBIT growing from €189m to €230m. The FCF conversion is being eroded by NWC build. Defence companies structurally have long payment cycles — but 25% is elevated vs peers.</t>
  </si>
  <si>
    <t>OPEN — Request monthly NWC breakdown; contract payment terms analysis</t>
  </si>
  <si>
    <t>🟡 AMBER — MONITOR</t>
  </si>
  <si>
    <t>CEO transition — Dr. Alexander Sagel (from Feb 2025)</t>
  </si>
  <si>
    <t>Susanne Wiegand (who transformed RENK and executed the IPO) stepped down February 2025. Dr. Sagel has deep industry expertise but takes over at a demanding inflection point. FY2026 is his first full year as CEO with record-high delivery obligations. Q1 2026 showed 'guidance unchanged' — positive early sign. COO Dr. Schiller also new (March 2025). Both key operational roles are occupied by relatively new appointees just as production scaling becomes the critical execution challenge.</t>
  </si>
  <si>
    <t>AMBER — Monitor H1 2026 results (Aug 6, 2026) for first full-Sagel delivery</t>
  </si>
  <si>
    <t>Term Loan B maturity — February 2029</t>
  </si>
  <si>
    <t>RENK refinanced in Feb 2024 with €525m Term Loan B maturing 5 years = Feb 2029. If geopolitical normalisation causes defence stock derating by 2028-2029, refinancing could occur at less favourable terms. Current ND/adj.EBITDA of 1.5x provides comfortable headroom. But if EBITDA disappoints, the refinancing window could be challenging. Note: €75m revolving credit facility remains undrawn — additional liquidity buffer.</t>
  </si>
  <si>
    <t>AMBER — Monitor credit spreads in 2027-2028 ahead of maturity</t>
  </si>
  <si>
    <t>US tariff exposure on Slide Bearings</t>
  </si>
  <si>
    <t>Q1 2026 SB margin fell 400bps ('punitive US tariffs'). SB segment = 9% of revenue. Industrial applications face headwinds from macroeconomic weakness and trade barriers. Americas at 21.9% of revenue includes both military (protected) and industrial (exposed). Ongoing US tariff escalation could further compress SB margins in 2026.</t>
  </si>
  <si>
    <t>AMBER — Monitor Q2/Q3 2026 SB margin vs Q1 2026 -400bps impact</t>
  </si>
  <si>
    <t>🟢 GREEN — CONFIRMED</t>
  </si>
  <si>
    <t>Fixed order backlog — 90%+ of FY2026 revenue secured</t>
  </si>
  <si>
    <t>Fixed order backlog €2,576m (Q1 2026) covers &gt;90% of FY2026 guided revenue &gt;€1,500m. This is extraordinary visibility. 22+ months of annual revenue in the fixed backlog alone. Total backlog €6.9bn = ~5x annual revenue. Defence companies do not normally report this level of visibility. This is the single most important investment quality signal at RENK: the revenue risk for the next 2 years is essentially zero.</t>
  </si>
  <si>
    <t>GREEN — Confirmed from Q1 2026 quarterly statement. No action required.</t>
  </si>
  <si>
    <t>Mission-critical products — no substitution risk in 3-5yr horizon</t>
  </si>
  <si>
    <t>RENK transmissions and gearboxes are qualification-specific: a NATO-standard tracked vehicle platform (Leopard 2, K2, LYNX) cannot simply switch to a competitor's transmission without a 3-5 year requalification programme. 70+ armed forces use RENK drive technology. RENK marine gear units are installed on 40+ naval forces' vessels worldwide. This is genuinely sticky, multi-decade revenue — not unlike the accreditation moat in TIC. No near-term substitute exists for RENK's core products.</t>
  </si>
  <si>
    <t>GREEN — Structural moat confirmed from product qualification requirements.</t>
  </si>
  <si>
    <t>Margin expansion trajectory — confirmed and continuing</t>
  </si>
  <si>
    <t>Adj. EBIT margin: FY2022 ~16.0% → FY2023 16.2% → FY2024 16.6% → FY2025 16.9%. VMS margin at 20.4% in FY2025; Q1 2026 VMS already at 18.3% (+170bps YoY). Margin expansion driven by: operational leverage on higher volumes (production efficiency), mix shift to higher-margin military applications, aftermarket growth. 2030 targets imply further margin expansion as revenue scales toward €3bn.</t>
  </si>
  <si>
    <t>GREEN — Confirmed from 4-year margin trend. Operational leverage is real.</t>
  </si>
  <si>
    <t>INVESTMENT THESIS  |  RENK Group AG  |  Dual-Lens PE Analysis</t>
  </si>
  <si>
    <t>THE DUAL LENS</t>
  </si>
  <si>
    <t>This analysis examines RENK from two perspectives: (1) retrospectively — did Triton Partners capture the full value of their investment, or did they exit before the defence supercycle fully materialised? And (2) prospectively — is RENK now re-privatisable, or has the public market re-rating permanently closed the PE window?</t>
  </si>
  <si>
    <t>LENS 1: TRITON EXIT — VERDICT</t>
  </si>
  <si>
    <t>Triton Partners achieved one of the best PE outcomes in recent German industrial history: ~7x MOIC and ~48% gross IRR over 5 years on a €750m Volkswagen carve-out. The IPO at €15/share in February 2024 was partially early — the stock rose to €90+ within 19 months. However, the critical nuance: Triton retained 67% of the company post-IPO and exited that retained stake in August 2025 at €80+/share — near the peak. They captured the vast majority of the supercycle re-rating. The IPO was a staging mechanism, not a forced exit.
Where Triton was early: The IPO EV (~€2bn) valued RENK at ~13x adj.EBIT (FY2023 LTM). By 18 months later, EBIT had grown to €230m and the market was paying 27x+ — implying the business should have been worth €6.2bn+ at exit. Triton got €6bn+ market cap by August 2025 — so they largely captured it. The 'left on table' from the IPO tranche (~€2.5bn of theoretical additional upside) was offset by the appreciated retained stake.
VERDICT: Triton timed the exit correctly on the full position. The IPO tranche alone was early by ~12-18 months, but the overall 7x MOIC places this firmly in the top 5% of European PE outcomes in the 2020-2025 vintage.</t>
  </si>
  <si>
    <t>LENS 2: RE-PRIVATISATION — VERDICT</t>
  </si>
  <si>
    <t>At ~€44.50/share and €7.3bn EV, RENK is structurally impossible to LBO. Entry EV/EBITDA of ~27x requires ~82% equity contribution — no PE fund can generate 20%+ IRR at that structure. The 4.0x leverage maximum on a €270m EBITDA business supports only €1.1bn of debt, against a €7.3bn EV. The equity gap (~€6.2bn) dwarfs normal PE ticket sizes.
The re-privatisation window closed when RENK joined the MDAX in 2024 and began trading as a defence sector asset rather than a German industrial Mittelstand company. Public markets are willing to pay 27x EV/EBITDA for RENK's backlog visibility and supercycle exposure. PE cannot match that capital cost.
The only scenario where PE could re-enter: a severe geopolitical normalisation causing ~50% valuation compression (stock to ~€22/share, EV ~€4.4bn). At that level, a PE entry at ~14x EV/EBITDA would generate viable returns. But that scenario implies the supercycle thesis is wrong — in which case the underlying business case also weakens.</t>
  </si>
  <si>
    <t>THE INVESTMENT CASE — EQUITY LONG / SHORT PERSPECTIVES</t>
  </si>
  <si>
    <t>BULL CASE (LONG): At €44.50/share (~27x EV/EBITDA), RENK is fairly valued under normalisation assumptions but materially undervalued under supercycle assumptions. The DCF Scenario A (supercycle) implies €159/share at WACC 5.8%, TGR 3.0%. The 90%+ backlog coverage of FY2026 revenue is an asset quality signal unmatched in European industrials. If NATO spending reaches 5% GDP and RENK scales production successfully, the stock is a 3-4x from current levels over 5 years.
BEAR CASE (SHORT): At 27x EV/EBITDA, RENK prices in near-perfect execution on the supercycle thesis. Any capacity constraint (already showing in Q1 2026 M&amp;I delays), geopolitical normalisation, or management transition stumble could compress the multiple from 27x to 15-18x — implying 33-44% downside from current levels. Short interest implications: with only ~€391m net debt (ND/EBITDA 1.5x), there is no balance sheet vulnerability, but the valuation vulnerability is real. The stock fell 51% from its Oct 2025 peak to current levels without any business deterioration — pure multiple compression.</t>
  </si>
  <si>
    <t>MANAGEMENT ASSESSMENT</t>
  </si>
  <si>
    <t>SUSANNE WIEGAND (CEO 2020-2025): Appointed under Triton, Wiegand transformed RENK from a VW industrial subsidiary into a MDAX-listed defence champion. Led the IPO, drove the VMS focus, built the aftermarket strategy, and established the company's defence credentials with NATO governments. Guidance vs actual: every year under her tenure saw guidance met or exceeded (FY2022-2024 confirmed in Annual Reports). Capital allocation: IPO execution was excellent; M&amp;A (Cincinnati Gearing) was sensible and strategic. VERDICT: Exceptional. Wiegand is the primary architect of Triton's 7x MOIC.
DR. ALEXANDER SAGEL (CEO from Feb 2025): Industry veteran, took over at an inflection point. First results (FY2025): adj.EBIT €230.4m — upper end of €210-235m guidance. FCF €66.9m — below FY2024 but explained by NWC build. Q1 2026: confirmed guidance despite soft quarter. VERDICT: Early signals are positive. Watch H2 2026 for first real operational test as FY2026 delivery obligations are the largest in company history.
MANAGEMENT VERDICT: The transition from founding/IPO CEO to post-IPO operating CEO is always a risk. At RENK, the execution cadence under Wiegand was exceptional and institutional. The risk is not the individuals — it is the complexity of scaling 2x in 5 years with two relatively new C-suite appointees. GREEN on leadership quality; AMBER on transition timing.</t>
  </si>
  <si>
    <t>EXIT ROUTE ANALYSIS — IF PE ENTERED AT -50% DISCOUNT</t>
  </si>
  <si>
    <t>STRATEGIC BUYER 1: Rheinmetall (RHM)
Strongest strategic fit. Rheinmetall is building an integrated German armoured vehicle ecosystem (hull, ammunition, systems integration). RENK provides the powerpack — the exact component Rheinmetall needs to control on Lynx, KF41 and future Panther platforms. Synergies: €150-250m p.a. (captive supply, procurement consolidation, pricing power). Antitrust: HIGH RISK — combined market share in German armoured vehicle powerpacks would be dominant. Bundeswehr dependency concentration would trigger BMWE review.
STRATEGIC BUYER 2: Thales (HO)
French defence electronics giant expanding into propulsion systems. RENK's marine gear units complement Thales naval systems. Would create a full-stack French-German naval propulsion offering. Synergies: €100-180m p.a. Antitrust: MEDIUM — different primary markets (France vs Germany). Political: EU defence consolidation would support review.
STRATEGIC BUYER 3: BAE Systems (BA.)
BAE produces Bradley Fighting Vehicle (US), Archer artillery, and CV90 IFV — all of which use or could use RENK transmissions. RENK Americas exposure (21.9% revenue) aligns with BAE's US presence. Synergies: €80-150m p.a. Antitrust: LOW — different national champions, different product categories.
COMPARABLE EXITS (Defence Industrials, last 5 years):
- Diehl Defence sale exploration (2023-24): abandoned at ~€2bn EV; ~12-14x EBITDA
- Hensoldt IPO (2020): Airbus sold at ~12x EV/EBITDA; traded to 18x+ post-listing
- MTU Aero partial exits (2022-24): traded at 14-18x EV/EBITDA range
These anchor a normalisation-scenario exit multiple of 15-20x as realistic.</t>
  </si>
  <si>
    <t>BOTTOM LINE</t>
  </si>
  <si>
    <t>RENK Group is one of Europe's most compelling defence industrial assets — but it is not a PE opportunity at current prices. It is a long-only equity story for investors who believe the European defence supercycle is structural and RENK can execute on its production scaling.
For PE: the Triton chapter is closed. The 7x MOIC at 48% IRR was a once-in-a-decade industrial carve-out opportunity. That window does not reopen unless RENK re-rates back to single-digit EV/EBITDA — which would require the supercycle thesis to fail.
For equity investors: the stock at €44.50 (51% off its peak) prices the normalisation scenario with no upside from the supercycle. The asymmetry is present — but only if you have conviction that NATO spending commitments translate into contracted RENK revenue beyond the current 2026-2027 backlog visibility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</si>
</sst>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0.0%\);\-"/>
    <numFmt numFmtId="166" formatCode="0.00\x;\(0.00&quot;x)&quot;;\-"/>
    <numFmt numFmtId="167" formatCode="0.0&quot;mo&quot;;\(0.0&quot;mo)&quot;;\-"/>
    <numFmt numFmtId="168" formatCode="0.0\x;\(0.0&quot;x)&quot;;\-"/>
    <numFmt numFmtId="169" formatCode="\€#,##0.00;&quot;(€&quot;#,##0.00\);\-"/>
    <numFmt numFmtId="170" formatCode="0.000;\(0.000\);\-"/>
    <numFmt numFmtId="171" formatCode="0.0\x"/>
    <numFmt numFmtId="172" formatCode="0.0&quot;x&quot;;\(0.0&quot;x&quot;\);\-"/>
    <numFmt numFmtId="173" formatCode="0.00;\(0.00\);\-"/>
    <numFmt numFmtId="174" formatCode="&quot;€&quot;#,##0.00;\(&quot;€&quot;#,##0.00\);\-"/>
    <numFmt numFmtId="175" formatCode="&quot;€&quot;#,##0;\(&quot;€&quot;#,##0.00\);\-"/>
  </numFmts>
  <fonts count="46" x14ac:knownFonts="1">
    <font>
      <sz val="11"/>
      <color theme="1"/>
      <name val="Calibri"/>
      <family val="2"/>
      <charset val="1"/>
    </font>
    <font>
      <b/>
      <sz val="20"/>
      <color rgb="FFFFFFFF"/>
      <name val="Calibri"/>
      <charset val="1"/>
    </font>
    <font>
      <b/>
      <sz val="12"/>
      <color rgb="FFC9A84C"/>
      <name val="Calibri"/>
      <charset val="1"/>
    </font>
    <font>
      <i/>
      <sz val="11"/>
      <color rgb="FFFFFFFF"/>
      <name val="Calibri"/>
      <charset val="1"/>
    </font>
    <font>
      <b/>
      <sz val="9"/>
      <color rgb="FFC9A84C"/>
      <name val="Calibri"/>
      <charset val="1"/>
    </font>
    <font>
      <sz val="9"/>
      <color rgb="FFFFFFFF"/>
      <name val="Calibri"/>
      <charset val="1"/>
    </font>
    <font>
      <sz val="9"/>
      <color rgb="FF000000"/>
      <name val="Calibri"/>
      <charset val="1"/>
    </font>
    <font>
      <i/>
      <sz val="7.5"/>
      <color rgb="FF6B7280"/>
      <name val="Calibri"/>
      <charset val="1"/>
    </font>
    <font>
      <b/>
      <sz val="14"/>
      <color rgb="FF1F2D4E"/>
      <name val="Calibri"/>
      <charset val="1"/>
    </font>
    <font>
      <b/>
      <sz val="9"/>
      <color rgb="FFFFFFFF"/>
      <name val="Calibri"/>
      <charset val="1"/>
    </font>
    <font>
      <sz val="9"/>
      <name val="Calibri"/>
      <charset val="1"/>
    </font>
    <font>
      <sz val="9"/>
      <color rgb="FF0000FF"/>
      <name val="Calibri"/>
      <charset val="1"/>
    </font>
    <font>
      <i/>
      <sz val="9"/>
      <color rgb="FF6B7280"/>
      <name val="Calibri"/>
      <charset val="1"/>
    </font>
    <font>
      <i/>
      <sz val="8"/>
      <color rgb="FF6B7280"/>
      <name val="Calibri"/>
      <charset val="1"/>
    </font>
    <font>
      <b/>
      <sz val="8"/>
      <color rgb="FF006400"/>
      <name val="Calibri"/>
      <charset val="1"/>
    </font>
    <font>
      <b/>
      <sz val="8"/>
      <color rgb="FF8B6914"/>
      <name val="Calibri"/>
      <charset val="1"/>
    </font>
    <font>
      <b/>
      <sz val="13"/>
      <color rgb="FF1F2D4E"/>
      <name val="Calibri"/>
      <charset val="1"/>
    </font>
    <font>
      <i/>
      <sz val="8"/>
      <color rgb="FF8B6914"/>
      <name val="Calibri"/>
      <charset val="1"/>
    </font>
    <font>
      <b/>
      <sz val="9"/>
      <color rgb="FF000000"/>
      <name val="Calibri"/>
      <charset val="1"/>
    </font>
    <font>
      <b/>
      <sz val="9"/>
      <color rgb="FF1F2D4E"/>
      <name val="Calibri"/>
      <charset val="1"/>
    </font>
    <font>
      <b/>
      <sz val="9"/>
      <name val="Calibri"/>
      <charset val="1"/>
    </font>
    <font>
      <b/>
      <sz val="9"/>
      <color rgb="FF006400"/>
      <name val="Calibri"/>
      <charset val="1"/>
    </font>
    <font>
      <sz val="9"/>
      <color rgb="FF1F2D4E"/>
      <name val="Calibri"/>
      <charset val="1"/>
    </font>
    <font>
      <sz val="9"/>
      <color rgb="FF006400"/>
      <name val="Calibri"/>
      <charset val="1"/>
    </font>
    <font>
      <b/>
      <sz val="13"/>
      <color rgb="FFFFFFFF"/>
      <name val="Calibri"/>
      <charset val="1"/>
    </font>
    <font>
      <i/>
      <sz val="9"/>
      <color rgb="FFFFFFFF"/>
      <name val="Calibri"/>
      <charset val="1"/>
    </font>
    <font>
      <b/>
      <sz val="10"/>
      <color rgb="FFFFFFFF"/>
      <name val="Calibri"/>
      <charset val="1"/>
    </font>
    <font>
      <sz val="10"/>
      <color rgb="FF000000"/>
      <name val="Calibri"/>
      <charset val="1"/>
    </font>
    <font>
      <b/>
      <sz val="10"/>
      <color rgb="FF1A3A5C"/>
      <name val="Calibri"/>
      <charset val="1"/>
    </font>
    <font>
      <b/>
      <sz val="10"/>
      <color rgb="FF000000"/>
      <name val="Calibri"/>
      <charset val="1"/>
    </font>
    <font>
      <b/>
      <sz val="10"/>
      <color rgb="FF145A32"/>
      <name val="Calibri"/>
      <charset val="1"/>
    </font>
    <font>
      <b/>
      <sz val="10"/>
      <color rgb="FF8B6914"/>
      <name val="Calibri"/>
      <charset val="1"/>
    </font>
    <font>
      <b/>
      <sz val="9"/>
      <color rgb="FF145A32"/>
      <name val="Calibri"/>
      <charset val="1"/>
    </font>
    <font>
      <b/>
      <sz val="9"/>
      <color rgb="FF2E4070"/>
      <name val="Calibri"/>
      <charset val="1"/>
    </font>
    <font>
      <b/>
      <sz val="8"/>
      <color rgb="FFFFFFFF"/>
      <name val="Calibri"/>
      <charset val="1"/>
    </font>
    <font>
      <b/>
      <i/>
      <sz val="8"/>
      <name val="Calibri"/>
      <charset val="1"/>
    </font>
    <font>
      <b/>
      <sz val="9"/>
      <color rgb="FF8B0000"/>
      <name val="Calibri"/>
      <charset val="1"/>
    </font>
    <font>
      <b/>
      <sz val="9"/>
      <color rgb="FF8B6914"/>
      <name val="Calibri"/>
      <charset val="1"/>
    </font>
    <font>
      <b/>
      <sz val="8"/>
      <color rgb="FF8B0000"/>
      <name val="Calibri"/>
      <charset val="1"/>
    </font>
    <font>
      <sz val="8"/>
      <name val="Calibri"/>
      <charset val="1"/>
    </font>
    <font>
      <b/>
      <sz val="8"/>
      <color rgb="FF6B7280"/>
      <name val="Calibri"/>
      <charset val="1"/>
    </font>
    <font>
      <b/>
      <sz val="8"/>
      <name val="Calibri"/>
      <charset val="1"/>
    </font>
    <font>
      <b/>
      <sz val="12"/>
      <color rgb="FFFFFFFF"/>
      <name val="Calibri"/>
      <charset val="1"/>
    </font>
    <font>
      <b/>
      <sz val="11"/>
      <color rgb="FFFFFFFF"/>
      <name val="Calibri"/>
      <charset val="1"/>
    </font>
    <font>
      <b/>
      <sz val="11"/>
      <color rgb="FF1F2D4E"/>
      <name val="Calibri"/>
      <charset val="1"/>
    </font>
    <font>
      <b/>
      <sz val="12"/>
      <color rgb="FF1F2D4E"/>
      <name val="Calibri"/>
      <charset val="1"/>
    </font>
  </fonts>
  <fills count="15">
    <fill>
      <patternFill patternType="none"/>
    </fill>
    <fill>
      <patternFill patternType="gray125"/>
    </fill>
    <fill>
      <patternFill patternType="solid">
        <fgColor rgb="FF1F2D4E"/>
        <bgColor rgb="FF1A3A5C"/>
      </patternFill>
    </fill>
    <fill>
      <patternFill patternType="solid">
        <fgColor rgb="FFF2F4F7"/>
        <bgColor rgb="FFE8F5E9"/>
      </patternFill>
    </fill>
    <fill>
      <patternFill patternType="solid">
        <fgColor rgb="FFE8F5E9"/>
        <bgColor rgb="FFF2F4F7"/>
      </patternFill>
    </fill>
    <fill>
      <patternFill patternType="solid">
        <fgColor rgb="FFFFFFFF"/>
        <bgColor rgb="FFFFF8E1"/>
      </patternFill>
    </fill>
    <fill>
      <patternFill patternType="solid">
        <fgColor rgb="FFFFF8E1"/>
        <bgColor rgb="FFF2F4F7"/>
      </patternFill>
    </fill>
    <fill>
      <patternFill patternType="solid">
        <fgColor rgb="FF1A3A5C"/>
        <bgColor rgb="FF2C3E50"/>
      </patternFill>
    </fill>
    <fill>
      <patternFill patternType="solid">
        <fgColor rgb="FF2E4070"/>
        <bgColor rgb="FF2C3E50"/>
      </patternFill>
    </fill>
    <fill>
      <patternFill patternType="solid">
        <fgColor rgb="FFD4A017"/>
        <bgColor rgb="FFC9A84C"/>
      </patternFill>
    </fill>
    <fill>
      <patternFill patternType="solid">
        <fgColor rgb="FF145A32"/>
        <bgColor rgb="FF006400"/>
      </patternFill>
    </fill>
    <fill>
      <patternFill patternType="solid">
        <fgColor rgb="FF8B6914"/>
        <bgColor rgb="FF808080"/>
      </patternFill>
    </fill>
    <fill>
      <patternFill patternType="solid">
        <fgColor rgb="FFC9A84C"/>
        <bgColor rgb="FFD4A017"/>
      </patternFill>
    </fill>
    <fill>
      <patternFill patternType="solid">
        <fgColor rgb="FFFFEBEE"/>
        <bgColor rgb="FFF2F4F7"/>
      </patternFill>
    </fill>
    <fill>
      <patternFill patternType="solid">
        <fgColor rgb="FFC0392B"/>
        <bgColor rgb="FF993366"/>
      </patternFill>
    </fill>
  </fills>
  <borders count="1">
    <border>
      <left/>
      <right/>
      <top/>
      <bottom/>
      <diagonal/>
    </border>
  </borders>
  <cellStyleXfs count="1">
    <xf numFmtId="0" fontId="0" fillId="0" borderId="0"/>
  </cellStyleXfs>
  <cellXfs count="170">
    <xf numFmtId="0" fontId="0" fillId="0" borderId="0" xfId="0"/>
    <xf numFmtId="0" fontId="0" fillId="2" borderId="0" xfId="0" applyFill="1"/>
    <xf numFmtId="0" fontId="8" fillId="0" borderId="0" xfId="0" applyFont="1" applyAlignment="1">
      <alignment horizontal="left" vertical="center"/>
    </xf>
    <xf numFmtId="0" fontId="9" fillId="2" borderId="0" xfId="0" applyFont="1" applyFill="1" applyAlignment="1">
      <alignment horizontal="center" vertical="center"/>
    </xf>
    <xf numFmtId="0" fontId="10" fillId="3" borderId="0" xfId="0" applyFont="1" applyFill="1" applyAlignment="1">
      <alignment horizontal="left" vertical="center" wrapText="1"/>
    </xf>
    <xf numFmtId="0" fontId="11" fillId="3" borderId="0" xfId="0" applyFont="1" applyFill="1" applyAlignment="1">
      <alignment horizontal="center" vertical="center"/>
    </xf>
    <xf numFmtId="0" fontId="12" fillId="3" borderId="0" xfId="0" applyFont="1" applyFill="1" applyAlignment="1">
      <alignment horizontal="center" vertical="center" wrapText="1"/>
    </xf>
    <xf numFmtId="0" fontId="13" fillId="3" borderId="0" xfId="0" applyFont="1" applyFill="1" applyAlignment="1">
      <alignment horizontal="left" vertical="center" wrapText="1"/>
    </xf>
    <xf numFmtId="0" fontId="14" fillId="4" borderId="0" xfId="0" applyFont="1" applyFill="1" applyAlignment="1">
      <alignment horizontal="center" vertical="center"/>
    </xf>
    <xf numFmtId="0" fontId="10" fillId="5" borderId="0" xfId="0" applyFont="1" applyFill="1" applyAlignment="1">
      <alignment horizontal="left" vertical="center" wrapText="1"/>
    </xf>
    <xf numFmtId="0" fontId="11" fillId="5" borderId="0" xfId="0" applyFont="1" applyFill="1" applyAlignment="1">
      <alignment horizontal="center" vertical="center"/>
    </xf>
    <xf numFmtId="0" fontId="12" fillId="5" borderId="0" xfId="0" applyFont="1" applyFill="1" applyAlignment="1">
      <alignment horizontal="center" vertical="center" wrapText="1"/>
    </xf>
    <xf numFmtId="0" fontId="13" fillId="5" borderId="0" xfId="0" applyFont="1" applyFill="1" applyAlignment="1">
      <alignment horizontal="left" vertical="center" wrapText="1"/>
    </xf>
    <xf numFmtId="0" fontId="15" fillId="6" borderId="0" xfId="0" applyFont="1" applyFill="1" applyAlignment="1">
      <alignment horizontal="center" vertical="center"/>
    </xf>
    <xf numFmtId="0" fontId="18" fillId="3" borderId="0" xfId="0" applyFont="1" applyFill="1" applyAlignment="1">
      <alignment horizontal="left" vertical="center" wrapText="1"/>
    </xf>
    <xf numFmtId="164" fontId="18" fillId="3" borderId="0" xfId="0" applyNumberFormat="1" applyFont="1" applyFill="1" applyAlignment="1">
      <alignment horizontal="right" vertical="center"/>
    </xf>
    <xf numFmtId="0" fontId="6" fillId="5" borderId="0" xfId="0" applyFont="1" applyFill="1" applyAlignment="1">
      <alignment horizontal="left" vertical="center" wrapText="1"/>
    </xf>
    <xf numFmtId="165" fontId="11" fillId="5" borderId="0" xfId="0" applyNumberFormat="1" applyFont="1" applyFill="1" applyAlignment="1">
      <alignment horizontal="right" vertical="center"/>
    </xf>
    <xf numFmtId="165" fontId="6" fillId="5" borderId="0" xfId="0" applyNumberFormat="1" applyFont="1" applyFill="1" applyAlignment="1">
      <alignment horizontal="right" vertical="center"/>
    </xf>
    <xf numFmtId="0" fontId="18" fillId="5" borderId="0" xfId="0" applyFont="1" applyFill="1" applyAlignment="1">
      <alignment horizontal="left" vertical="center" wrapText="1"/>
    </xf>
    <xf numFmtId="164" fontId="18" fillId="5" borderId="0" xfId="0" applyNumberFormat="1" applyFont="1" applyFill="1" applyAlignment="1">
      <alignment horizontal="right" vertical="center"/>
    </xf>
    <xf numFmtId="0" fontId="19" fillId="3" borderId="0" xfId="0" applyFont="1" applyFill="1" applyAlignment="1">
      <alignment horizontal="left" vertical="center" wrapText="1"/>
    </xf>
    <xf numFmtId="165" fontId="19" fillId="3" borderId="0" xfId="0" applyNumberFormat="1" applyFont="1" applyFill="1" applyAlignment="1">
      <alignment horizontal="right" vertical="center"/>
    </xf>
    <xf numFmtId="164" fontId="6" fillId="5" borderId="0" xfId="0" applyNumberFormat="1" applyFont="1" applyFill="1" applyAlignment="1">
      <alignment horizontal="right" vertical="center"/>
    </xf>
    <xf numFmtId="164" fontId="11" fillId="5" borderId="0" xfId="0" applyNumberFormat="1" applyFont="1" applyFill="1" applyAlignment="1">
      <alignment horizontal="right" vertical="center"/>
    </xf>
    <xf numFmtId="0" fontId="6" fillId="3" borderId="0" xfId="0" applyFont="1" applyFill="1" applyAlignment="1">
      <alignment horizontal="left" vertical="center" wrapText="1"/>
    </xf>
    <xf numFmtId="164" fontId="11" fillId="3" borderId="0" xfId="0" applyNumberFormat="1" applyFont="1" applyFill="1" applyAlignment="1">
      <alignment horizontal="right" vertical="center"/>
    </xf>
    <xf numFmtId="164" fontId="6" fillId="3" borderId="0" xfId="0" applyNumberFormat="1" applyFont="1" applyFill="1" applyAlignment="1">
      <alignment horizontal="right" vertical="center"/>
    </xf>
    <xf numFmtId="166" fontId="19" fillId="3" borderId="0" xfId="0" applyNumberFormat="1" applyFont="1" applyFill="1" applyAlignment="1">
      <alignment horizontal="right" vertical="center"/>
    </xf>
    <xf numFmtId="167" fontId="11" fillId="5" borderId="0" xfId="0" applyNumberFormat="1" applyFont="1" applyFill="1" applyAlignment="1">
      <alignment horizontal="right" vertical="center"/>
    </xf>
    <xf numFmtId="167" fontId="6" fillId="5" borderId="0" xfId="0" applyNumberFormat="1" applyFont="1" applyFill="1" applyAlignment="1">
      <alignment horizontal="right" vertical="center"/>
    </xf>
    <xf numFmtId="167" fontId="11" fillId="3" borderId="0" xfId="0" applyNumberFormat="1" applyFont="1" applyFill="1" applyAlignment="1">
      <alignment horizontal="right" vertical="center"/>
    </xf>
    <xf numFmtId="167" fontId="6" fillId="3" borderId="0" xfId="0" applyNumberFormat="1" applyFont="1" applyFill="1" applyAlignment="1">
      <alignment horizontal="right" vertical="center"/>
    </xf>
    <xf numFmtId="165" fontId="6" fillId="3" borderId="0" xfId="0" applyNumberFormat="1" applyFont="1" applyFill="1" applyAlignment="1">
      <alignment horizontal="right" vertical="center"/>
    </xf>
    <xf numFmtId="168" fontId="11" fillId="3" borderId="0" xfId="0" applyNumberFormat="1" applyFont="1" applyFill="1" applyAlignment="1">
      <alignment horizontal="right" vertical="center"/>
    </xf>
    <xf numFmtId="169" fontId="11" fillId="5" borderId="0" xfId="0" applyNumberFormat="1" applyFont="1" applyFill="1" applyAlignment="1">
      <alignment horizontal="right" vertical="center"/>
    </xf>
    <xf numFmtId="165" fontId="18" fillId="3" borderId="0" xfId="0" applyNumberFormat="1" applyFont="1" applyFill="1" applyAlignment="1">
      <alignment horizontal="right" vertical="center"/>
    </xf>
    <xf numFmtId="165" fontId="11" fillId="3" borderId="0" xfId="0" applyNumberFormat="1" applyFont="1" applyFill="1" applyAlignment="1">
      <alignment horizontal="right" vertical="center"/>
    </xf>
    <xf numFmtId="0" fontId="9" fillId="2" borderId="0" xfId="0" applyFont="1" applyFill="1" applyAlignment="1">
      <alignment horizontal="center" vertical="center" wrapText="1"/>
    </xf>
    <xf numFmtId="0" fontId="20" fillId="6" borderId="0" xfId="0" applyFont="1" applyFill="1" applyAlignment="1">
      <alignment horizontal="left" vertical="center"/>
    </xf>
    <xf numFmtId="164" fontId="11" fillId="6" borderId="0" xfId="0" applyNumberFormat="1" applyFont="1" applyFill="1" applyAlignment="1">
      <alignment horizontal="right" vertical="center"/>
    </xf>
    <xf numFmtId="166" fontId="21" fillId="4" borderId="0" xfId="0" applyNumberFormat="1" applyFont="1" applyFill="1" applyAlignment="1">
      <alignment horizontal="center" vertical="center"/>
    </xf>
    <xf numFmtId="167" fontId="22" fillId="6" borderId="0" xfId="0" applyNumberFormat="1" applyFont="1" applyFill="1" applyAlignment="1">
      <alignment horizontal="center" vertical="center"/>
    </xf>
    <xf numFmtId="0" fontId="20" fillId="3" borderId="0" xfId="0" applyFont="1" applyFill="1" applyAlignment="1">
      <alignment horizontal="left" vertical="center"/>
    </xf>
    <xf numFmtId="167" fontId="22" fillId="3" borderId="0" xfId="0" applyNumberFormat="1" applyFont="1" applyFill="1" applyAlignment="1">
      <alignment horizontal="center" vertical="center"/>
    </xf>
    <xf numFmtId="0" fontId="20" fillId="5" borderId="0" xfId="0" applyFont="1" applyFill="1" applyAlignment="1">
      <alignment horizontal="left" vertical="center"/>
    </xf>
    <xf numFmtId="167" fontId="22" fillId="5" borderId="0" xfId="0" applyNumberFormat="1" applyFont="1" applyFill="1" applyAlignment="1">
      <alignment horizontal="center" vertical="center"/>
    </xf>
    <xf numFmtId="0" fontId="20" fillId="4" borderId="0" xfId="0" applyFont="1" applyFill="1" applyAlignment="1">
      <alignment horizontal="left" vertical="center"/>
    </xf>
    <xf numFmtId="164" fontId="11" fillId="4" borderId="0" xfId="0" applyNumberFormat="1" applyFont="1" applyFill="1" applyAlignment="1">
      <alignment horizontal="right" vertical="center"/>
    </xf>
    <xf numFmtId="167" fontId="22" fillId="4" borderId="0" xfId="0" applyNumberFormat="1" applyFont="1" applyFill="1" applyAlignment="1">
      <alignment horizontal="center" vertical="center"/>
    </xf>
    <xf numFmtId="0" fontId="23" fillId="4" borderId="0" xfId="0" applyFont="1" applyFill="1" applyAlignment="1">
      <alignment horizontal="center" vertical="center"/>
    </xf>
    <xf numFmtId="0" fontId="22" fillId="6" borderId="0" xfId="0" applyFont="1" applyFill="1" applyAlignment="1">
      <alignment horizontal="center" vertical="center"/>
    </xf>
    <xf numFmtId="0" fontId="27" fillId="3" borderId="0" xfId="0" applyFont="1" applyFill="1" applyAlignment="1">
      <alignment horizontal="center" vertical="center"/>
    </xf>
    <xf numFmtId="0" fontId="27" fillId="5" borderId="0" xfId="0" applyFont="1" applyFill="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18" fillId="6" borderId="0" xfId="0" applyFont="1" applyFill="1" applyAlignment="1">
      <alignment horizontal="left" vertical="center" wrapText="1"/>
    </xf>
    <xf numFmtId="0" fontId="28" fillId="6" borderId="0" xfId="0" applyFont="1" applyFill="1" applyAlignment="1">
      <alignment horizontal="center" vertical="center"/>
    </xf>
    <xf numFmtId="0" fontId="13" fillId="6" borderId="0" xfId="0" applyFont="1" applyFill="1" applyAlignment="1">
      <alignment horizontal="left" vertical="center" wrapText="1"/>
    </xf>
    <xf numFmtId="0" fontId="29" fillId="5" borderId="0" xfId="0" applyFont="1" applyFill="1" applyAlignment="1">
      <alignment horizontal="center" vertical="center"/>
    </xf>
    <xf numFmtId="0" fontId="6" fillId="6" borderId="0" xfId="0" applyFont="1" applyFill="1" applyAlignment="1">
      <alignment horizontal="left" vertical="center" wrapText="1"/>
    </xf>
    <xf numFmtId="0" fontId="27" fillId="6" borderId="0" xfId="0" applyFont="1" applyFill="1" applyAlignment="1">
      <alignment horizontal="center" vertical="center"/>
    </xf>
    <xf numFmtId="0" fontId="29" fillId="6" borderId="0" xfId="0" applyFont="1" applyFill="1" applyAlignment="1">
      <alignment horizontal="center" vertical="center"/>
    </xf>
    <xf numFmtId="0" fontId="18" fillId="4" borderId="0" xfId="0" applyFont="1" applyFill="1" applyAlignment="1">
      <alignment horizontal="left" vertical="center" wrapText="1"/>
    </xf>
    <xf numFmtId="0" fontId="29" fillId="4" borderId="0" xfId="0" applyFont="1" applyFill="1" applyAlignment="1">
      <alignment horizontal="center" vertical="center"/>
    </xf>
    <xf numFmtId="0" fontId="13" fillId="4" borderId="0" xfId="0" applyFont="1" applyFill="1" applyAlignment="1">
      <alignment horizontal="left" vertical="center" wrapText="1"/>
    </xf>
    <xf numFmtId="0" fontId="30" fillId="4" borderId="0" xfId="0" applyFont="1" applyFill="1" applyAlignment="1">
      <alignment horizontal="center" vertical="center"/>
    </xf>
    <xf numFmtId="0" fontId="6" fillId="4" borderId="0" xfId="0" applyFont="1" applyFill="1" applyAlignment="1">
      <alignment horizontal="left" vertical="center" wrapText="1"/>
    </xf>
    <xf numFmtId="0" fontId="27" fillId="4" borderId="0" xfId="0" applyFont="1" applyFill="1" applyAlignment="1">
      <alignment horizontal="center" vertical="center"/>
    </xf>
    <xf numFmtId="0" fontId="31" fillId="6" borderId="0" xfId="0" applyFont="1" applyFill="1" applyAlignment="1">
      <alignment horizontal="center" vertical="center"/>
    </xf>
    <xf numFmtId="170" fontId="11" fillId="3" borderId="0" xfId="0" applyNumberFormat="1" applyFont="1" applyFill="1" applyAlignment="1">
      <alignment horizontal="right" vertical="center"/>
    </xf>
    <xf numFmtId="170" fontId="6" fillId="3" borderId="0" xfId="0" applyNumberFormat="1" applyFont="1" applyFill="1" applyAlignment="1">
      <alignment horizontal="right" vertical="center"/>
    </xf>
    <xf numFmtId="0" fontId="32" fillId="5" borderId="0" xfId="0" applyFont="1" applyFill="1" applyAlignment="1">
      <alignment horizontal="left" vertical="center" wrapText="1"/>
    </xf>
    <xf numFmtId="164" fontId="32" fillId="5" borderId="0" xfId="0" applyNumberFormat="1" applyFont="1" applyFill="1" applyAlignment="1">
      <alignment horizontal="right" vertical="center"/>
    </xf>
    <xf numFmtId="0" fontId="32" fillId="3" borderId="0" xfId="0" applyFont="1" applyFill="1" applyAlignment="1">
      <alignment horizontal="left" vertical="center" wrapText="1"/>
    </xf>
    <xf numFmtId="169" fontId="32" fillId="3" borderId="0" xfId="0" applyNumberFormat="1" applyFont="1" applyFill="1" applyAlignment="1">
      <alignment horizontal="right" vertical="center"/>
    </xf>
    <xf numFmtId="0" fontId="33" fillId="5" borderId="0" xfId="0" applyFont="1" applyFill="1" applyAlignment="1">
      <alignment horizontal="left" vertical="center" wrapText="1"/>
    </xf>
    <xf numFmtId="164" fontId="33" fillId="5" borderId="0" xfId="0" applyNumberFormat="1" applyFont="1" applyFill="1" applyAlignment="1">
      <alignment horizontal="right" vertical="center"/>
    </xf>
    <xf numFmtId="0" fontId="33" fillId="3" borderId="0" xfId="0" applyFont="1" applyFill="1" applyAlignment="1">
      <alignment horizontal="left" vertical="center" wrapText="1"/>
    </xf>
    <xf numFmtId="169" fontId="33" fillId="3" borderId="0" xfId="0" applyNumberFormat="1" applyFont="1" applyFill="1" applyAlignment="1">
      <alignment horizontal="right" vertical="center"/>
    </xf>
    <xf numFmtId="0" fontId="20" fillId="0" borderId="0" xfId="0" applyFont="1"/>
    <xf numFmtId="0" fontId="34" fillId="10" borderId="0" xfId="0" applyFont="1" applyFill="1" applyAlignment="1">
      <alignment horizontal="center" vertical="center"/>
    </xf>
    <xf numFmtId="0" fontId="35" fillId="0" borderId="0" xfId="0" applyFont="1"/>
    <xf numFmtId="0" fontId="19" fillId="12" borderId="0" xfId="0" applyFont="1" applyFill="1" applyAlignment="1">
      <alignment horizontal="left" vertical="center"/>
    </xf>
    <xf numFmtId="0" fontId="19" fillId="12" borderId="0" xfId="0" applyFont="1" applyFill="1" applyAlignment="1">
      <alignment horizontal="right" vertical="center"/>
    </xf>
    <xf numFmtId="0" fontId="6" fillId="5" borderId="0" xfId="0" applyFont="1" applyFill="1" applyAlignment="1">
      <alignment horizontal="left" vertical="center"/>
    </xf>
    <xf numFmtId="0" fontId="6" fillId="5" borderId="0" xfId="0" applyFont="1" applyFill="1" applyAlignment="1">
      <alignment horizontal="righ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36" fillId="13" borderId="0" xfId="0" applyFont="1" applyFill="1" applyAlignment="1">
      <alignment horizontal="center" vertical="center"/>
    </xf>
    <xf numFmtId="0" fontId="37" fillId="6" borderId="0" xfId="0" applyFont="1" applyFill="1" applyAlignment="1">
      <alignment horizontal="center" vertical="center"/>
    </xf>
    <xf numFmtId="0" fontId="21" fillId="4" borderId="0" xfId="0" applyFont="1" applyFill="1" applyAlignment="1">
      <alignment horizontal="center" vertical="center"/>
    </xf>
    <xf numFmtId="168" fontId="18" fillId="5" borderId="0" xfId="0" applyNumberFormat="1" applyFont="1" applyFill="1" applyAlignment="1">
      <alignment horizontal="right" vertical="center"/>
    </xf>
    <xf numFmtId="168" fontId="6" fillId="3" borderId="0" xfId="0" applyNumberFormat="1" applyFont="1" applyFill="1" applyAlignment="1">
      <alignment horizontal="right" vertical="center"/>
    </xf>
    <xf numFmtId="171" fontId="11" fillId="5" borderId="0" xfId="0" applyNumberFormat="1" applyFont="1" applyFill="1" applyAlignment="1">
      <alignment horizontal="right" vertical="center"/>
    </xf>
    <xf numFmtId="0" fontId="20" fillId="13" borderId="0" xfId="0" applyFont="1" applyFill="1" applyAlignment="1">
      <alignment horizontal="left" vertical="top" wrapText="1"/>
    </xf>
    <xf numFmtId="0" fontId="38" fillId="13" borderId="0" xfId="0" applyFont="1" applyFill="1" applyAlignment="1">
      <alignment horizontal="left" vertical="top" wrapText="1"/>
    </xf>
    <xf numFmtId="0" fontId="39" fillId="13" borderId="0" xfId="0" applyFont="1" applyFill="1" applyAlignment="1">
      <alignment horizontal="left" vertical="top" wrapText="1"/>
    </xf>
    <xf numFmtId="0" fontId="20" fillId="6" borderId="0" xfId="0" applyFont="1" applyFill="1" applyAlignment="1">
      <alignment horizontal="left" vertical="top" wrapText="1"/>
    </xf>
    <xf numFmtId="0" fontId="15" fillId="6" borderId="0" xfId="0" applyFont="1" applyFill="1" applyAlignment="1">
      <alignment horizontal="left" vertical="top" wrapText="1"/>
    </xf>
    <xf numFmtId="0" fontId="39" fillId="6" borderId="0" xfId="0" applyFont="1" applyFill="1" applyAlignment="1">
      <alignment horizontal="left" vertical="top" wrapText="1"/>
    </xf>
    <xf numFmtId="0" fontId="20" fillId="3" borderId="0" xfId="0" applyFont="1" applyFill="1" applyAlignment="1">
      <alignment horizontal="left" vertical="top" wrapText="1"/>
    </xf>
    <xf numFmtId="0" fontId="40" fillId="3" borderId="0" xfId="0" applyFont="1" applyFill="1" applyAlignment="1">
      <alignment horizontal="left" vertical="top" wrapText="1"/>
    </xf>
    <xf numFmtId="0" fontId="39" fillId="3" borderId="0" xfId="0" applyFont="1" applyFill="1" applyAlignment="1">
      <alignment horizontal="left" vertical="top" wrapText="1"/>
    </xf>
    <xf numFmtId="0" fontId="41" fillId="13" borderId="0" xfId="0" applyFont="1" applyFill="1" applyAlignment="1">
      <alignment horizontal="left" vertical="top" wrapText="1"/>
    </xf>
    <xf numFmtId="0" fontId="41" fillId="6" borderId="0" xfId="0" applyFont="1" applyFill="1" applyAlignment="1">
      <alignment horizontal="left" vertical="top" wrapText="1"/>
    </xf>
    <xf numFmtId="0" fontId="20" fillId="4" borderId="0" xfId="0" applyFont="1" applyFill="1" applyAlignment="1">
      <alignment horizontal="left" vertical="top" wrapText="1"/>
    </xf>
    <xf numFmtId="0" fontId="39" fillId="4" borderId="0" xfId="0" applyFont="1" applyFill="1" applyAlignment="1">
      <alignment horizontal="left" vertical="top" wrapText="1"/>
    </xf>
    <xf numFmtId="0" fontId="41" fillId="4" borderId="0" xfId="0" applyFont="1" applyFill="1" applyAlignment="1">
      <alignment horizontal="left" vertical="top" wrapText="1"/>
    </xf>
    <xf numFmtId="0" fontId="42" fillId="2" borderId="0" xfId="0" applyFont="1" applyFill="1" applyAlignment="1">
      <alignment horizontal="left" vertical="center" wrapText="1"/>
    </xf>
    <xf numFmtId="0" fontId="27" fillId="5" borderId="0" xfId="0" applyFont="1" applyFill="1" applyAlignment="1">
      <alignment horizontal="left" vertical="top" wrapText="1"/>
    </xf>
    <xf numFmtId="0" fontId="43" fillId="7" borderId="0" xfId="0" applyFont="1" applyFill="1" applyAlignment="1">
      <alignment horizontal="left" vertical="center" wrapText="1"/>
    </xf>
    <xf numFmtId="0" fontId="6" fillId="5" borderId="0" xfId="0" applyFont="1" applyFill="1" applyAlignment="1">
      <alignment horizontal="left" vertical="top" wrapText="1"/>
    </xf>
    <xf numFmtId="0" fontId="43" fillId="14" borderId="0" xfId="0" applyFont="1" applyFill="1" applyAlignment="1">
      <alignment horizontal="left" vertical="center" wrapText="1"/>
    </xf>
    <xf numFmtId="0" fontId="43" fillId="2" borderId="0" xfId="0" applyFont="1" applyFill="1" applyAlignment="1">
      <alignment horizontal="left" vertical="center" wrapText="1"/>
    </xf>
    <xf numFmtId="0" fontId="44" fillId="12" borderId="0" xfId="0" applyFont="1" applyFill="1" applyAlignment="1">
      <alignment horizontal="left" vertical="center" wrapText="1"/>
    </xf>
    <xf numFmtId="0" fontId="26" fillId="2" borderId="0" xfId="0" applyFont="1" applyFill="1" applyAlignment="1">
      <alignment horizontal="left" vertical="center" wrapText="1"/>
    </xf>
    <xf numFmtId="0" fontId="45" fillId="12" borderId="0" xfId="0" applyFont="1" applyFill="1" applyAlignment="1">
      <alignment horizontal="left" vertical="center" wrapText="1"/>
    </xf>
    <xf numFmtId="165" fontId="11" fillId="5" borderId="0" xfId="0" applyNumberFormat="1" applyFont="1" applyFill="1" applyAlignment="1">
      <alignment horizontal="center" vertical="center"/>
    </xf>
    <xf numFmtId="172" fontId="11" fillId="5" borderId="0" xfId="0" applyNumberFormat="1" applyFont="1" applyFill="1" applyAlignment="1">
      <alignment horizontal="center" vertical="center"/>
    </xf>
    <xf numFmtId="165" fontId="11" fillId="3" borderId="0" xfId="0" applyNumberFormat="1" applyFont="1" applyFill="1" applyAlignment="1">
      <alignment horizontal="center" vertical="center"/>
    </xf>
    <xf numFmtId="172" fontId="11" fillId="3" borderId="0" xfId="0" applyNumberFormat="1" applyFont="1" applyFill="1" applyAlignment="1">
      <alignment horizontal="center" vertical="center"/>
    </xf>
    <xf numFmtId="164" fontId="11" fillId="3" borderId="0" xfId="0" applyNumberFormat="1" applyFont="1" applyFill="1" applyAlignment="1">
      <alignment horizontal="center" vertical="center"/>
    </xf>
    <xf numFmtId="173" fontId="11" fillId="3" borderId="0" xfId="0" applyNumberFormat="1" applyFont="1" applyFill="1" applyAlignment="1">
      <alignment horizontal="center" vertical="center"/>
    </xf>
    <xf numFmtId="174" fontId="11" fillId="5" borderId="0" xfId="0" applyNumberFormat="1" applyFont="1" applyFill="1" applyAlignment="1">
      <alignment horizontal="right" vertical="center"/>
    </xf>
    <xf numFmtId="164" fontId="27" fillId="3" borderId="0" xfId="0" applyNumberFormat="1" applyFont="1" applyFill="1" applyAlignment="1">
      <alignment horizontal="center" vertical="center"/>
    </xf>
    <xf numFmtId="165" fontId="34" fillId="10" borderId="0" xfId="0" applyNumberFormat="1" applyFont="1" applyFill="1" applyAlignment="1">
      <alignment horizontal="center" vertical="center"/>
    </xf>
    <xf numFmtId="165" fontId="9" fillId="10" borderId="0" xfId="0" applyNumberFormat="1" applyFont="1" applyFill="1" applyAlignment="1">
      <alignment horizontal="center" vertical="center"/>
    </xf>
    <xf numFmtId="175" fontId="10" fillId="3" borderId="0" xfId="0" applyNumberFormat="1" applyFont="1" applyFill="1" applyAlignment="1">
      <alignment horizontal="center" vertical="center"/>
    </xf>
    <xf numFmtId="175" fontId="10" fillId="5" borderId="0" xfId="0" applyNumberFormat="1" applyFont="1" applyFill="1" applyAlignment="1">
      <alignment horizontal="center" vertical="center"/>
    </xf>
    <xf numFmtId="175" fontId="20" fillId="12" borderId="0" xfId="0" applyNumberFormat="1" applyFont="1" applyFill="1" applyAlignment="1">
      <alignment horizontal="center" vertical="center"/>
    </xf>
    <xf numFmtId="165" fontId="19" fillId="12" borderId="0" xfId="0" applyNumberFormat="1" applyFont="1" applyFill="1" applyAlignment="1">
      <alignment horizontal="right" vertical="center"/>
    </xf>
    <xf numFmtId="172" fontId="19" fillId="12" borderId="0" xfId="0" applyNumberFormat="1" applyFont="1" applyFill="1" applyAlignment="1">
      <alignment horizontal="right" vertical="center"/>
    </xf>
    <xf numFmtId="174" fontId="11" fillId="3" borderId="0" xfId="0" applyNumberFormat="1" applyFont="1" applyFill="1" applyAlignment="1">
      <alignment horizontal="right" vertical="center"/>
    </xf>
    <xf numFmtId="0" fontId="19" fillId="12" borderId="0" xfId="0" applyFont="1" applyFill="1" applyAlignment="1">
      <alignment horizontal="center" vertical="center" wrapText="1"/>
    </xf>
    <xf numFmtId="0" fontId="6" fillId="5" borderId="0" xfId="0" applyFont="1" applyFill="1" applyAlignment="1">
      <alignment horizontal="center" vertical="center" wrapText="1"/>
    </xf>
    <xf numFmtId="0" fontId="6" fillId="3" borderId="0" xfId="0" applyFont="1" applyFill="1" applyAlignment="1">
      <alignment horizontal="center" vertical="center" wrapText="1"/>
    </xf>
    <xf numFmtId="0" fontId="7" fillId="0" borderId="0" xfId="0" applyFont="1" applyAlignment="1">
      <alignment horizontal="left" vertical="top" wrapText="1"/>
    </xf>
    <xf numFmtId="0" fontId="0" fillId="0" borderId="0" xfId="0"/>
    <xf numFmtId="0" fontId="5"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3" borderId="0" xfId="0" applyFont="1" applyFill="1" applyAlignment="1">
      <alignment horizontal="left" vertical="top" wrapText="1"/>
    </xf>
    <xf numFmtId="0" fontId="3" fillId="2" borderId="0" xfId="0" applyFont="1" applyFill="1" applyAlignment="1">
      <alignment horizontal="center" vertical="center"/>
    </xf>
    <xf numFmtId="0" fontId="9" fillId="2" borderId="0" xfId="0" applyFont="1" applyFill="1" applyAlignment="1">
      <alignment horizontal="left" vertical="center"/>
    </xf>
    <xf numFmtId="0" fontId="8"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left" vertical="top" wrapText="1"/>
    </xf>
    <xf numFmtId="0" fontId="17" fillId="6" borderId="0" xfId="0" applyFont="1" applyFill="1" applyAlignment="1">
      <alignment horizontal="left" vertical="top" wrapText="1"/>
    </xf>
    <xf numFmtId="0" fontId="22" fillId="4" borderId="0" xfId="0" applyFont="1" applyFill="1" applyAlignment="1">
      <alignment horizontal="left" vertical="top" wrapText="1"/>
    </xf>
    <xf numFmtId="0" fontId="13" fillId="3" borderId="0" xfId="0" applyFont="1" applyFill="1" applyAlignment="1">
      <alignment horizontal="left" vertical="top" wrapText="1"/>
    </xf>
    <xf numFmtId="0" fontId="26" fillId="10" borderId="0" xfId="0" applyFont="1" applyFill="1" applyAlignment="1">
      <alignment horizontal="left" vertical="center"/>
    </xf>
    <xf numFmtId="0" fontId="19" fillId="6" borderId="0" xfId="0" applyFont="1" applyFill="1" applyAlignment="1">
      <alignment horizontal="left" vertical="top" wrapText="1"/>
    </xf>
    <xf numFmtId="0" fontId="24" fillId="7" borderId="0" xfId="0" applyFont="1" applyFill="1" applyAlignment="1">
      <alignment horizontal="left" vertical="center"/>
    </xf>
    <xf numFmtId="0" fontId="26" fillId="9" borderId="0" xfId="0" applyFont="1" applyFill="1" applyAlignment="1">
      <alignment horizontal="left" vertical="center"/>
    </xf>
    <xf numFmtId="0" fontId="26" fillId="7" borderId="0" xfId="0" applyFont="1" applyFill="1" applyAlignment="1">
      <alignment horizontal="left" vertical="center"/>
    </xf>
    <xf numFmtId="0" fontId="26" fillId="8" borderId="0" xfId="0" applyFont="1" applyFill="1" applyAlignment="1">
      <alignment horizontal="left" vertical="center"/>
    </xf>
    <xf numFmtId="0" fontId="26" fillId="11" borderId="0" xfId="0" applyFont="1" applyFill="1" applyAlignment="1">
      <alignment horizontal="left" vertical="center"/>
    </xf>
    <xf numFmtId="0" fontId="25" fillId="7" borderId="0" xfId="0" applyFont="1" applyFill="1" applyAlignment="1">
      <alignment horizontal="left" vertical="top" wrapText="1"/>
    </xf>
    <xf numFmtId="0" fontId="12" fillId="0" borderId="0" xfId="0" applyFont="1" applyAlignment="1">
      <alignment horizontal="left" vertical="top" wrapText="1"/>
    </xf>
    <xf numFmtId="0" fontId="13" fillId="0" borderId="0" xfId="0" applyFont="1" applyAlignment="1">
      <alignment vertical="top" wrapText="1"/>
    </xf>
    <xf numFmtId="0" fontId="10" fillId="3" borderId="0" xfId="0" applyFont="1" applyFill="1" applyAlignment="1">
      <alignment horizontal="left" vertical="center" wrapText="1"/>
    </xf>
    <xf numFmtId="0" fontId="19" fillId="5" borderId="0" xfId="0" applyFont="1" applyFill="1" applyAlignment="1">
      <alignment horizontal="left" vertical="center"/>
    </xf>
    <xf numFmtId="0" fontId="19" fillId="3" borderId="0" xfId="0" applyFont="1" applyFill="1" applyAlignment="1">
      <alignment horizontal="left" vertical="center"/>
    </xf>
    <xf numFmtId="0" fontId="10" fillId="5" borderId="0" xfId="0" applyFont="1" applyFill="1" applyAlignment="1">
      <alignment horizontal="left" vertical="center" wrapText="1"/>
    </xf>
    <xf numFmtId="0" fontId="22" fillId="6" borderId="0" xfId="0" applyFont="1" applyFill="1" applyAlignment="1">
      <alignment horizontal="left" vertical="top" wrapText="1"/>
    </xf>
    <xf numFmtId="0" fontId="37" fillId="6" borderId="0" xfId="0" applyFont="1" applyFill="1" applyAlignment="1">
      <alignment horizontal="left" vertical="center"/>
    </xf>
    <xf numFmtId="0" fontId="21" fillId="4" borderId="0" xfId="0" applyFont="1" applyFill="1" applyAlignment="1">
      <alignment horizontal="left" vertical="center"/>
    </xf>
    <xf numFmtId="0" fontId="36" fillId="13"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B0000"/>
      <rgbColor rgb="FF006400"/>
      <rgbColor rgb="FF000080"/>
      <rgbColor rgb="FF8B6914"/>
      <rgbColor rgb="FF800080"/>
      <rgbColor rgb="FF16A085"/>
      <rgbColor rgb="FFC0C0C0"/>
      <rgbColor rgb="FF808080"/>
      <rgbColor rgb="FF9999FF"/>
      <rgbColor rgb="FF8E44AD"/>
      <rgbColor rgb="FFFFF8E1"/>
      <rgbColor rgb="FFE8F5E9"/>
      <rgbColor rgb="FF4A235A"/>
      <rgbColor rgb="FFFF8080"/>
      <rgbColor rgb="FF0066CC"/>
      <rgbColor rgb="FFCCCCFF"/>
      <rgbColor rgb="FF000080"/>
      <rgbColor rgb="FFFF00FF"/>
      <rgbColor rgb="FFFFFF00"/>
      <rgbColor rgb="FF00FFFF"/>
      <rgbColor rgb="FF800080"/>
      <rgbColor rgb="FF800000"/>
      <rgbColor rgb="FF2E86AB"/>
      <rgbColor rgb="FF0000FF"/>
      <rgbColor rgb="FF00CCFF"/>
      <rgbColor rgb="FFF2F4F7"/>
      <rgbColor rgb="FFCCFFCC"/>
      <rgbColor rgb="FFFFEBEE"/>
      <rgbColor rgb="FF99CCFF"/>
      <rgbColor rgb="FFFF99CC"/>
      <rgbColor rgb="FFCC99FF"/>
      <rgbColor rgb="FFFFCC99"/>
      <rgbColor rgb="FF3366FF"/>
      <rgbColor rgb="FF33CCCC"/>
      <rgbColor rgb="FF99CC00"/>
      <rgbColor rgb="FFFFCC00"/>
      <rgbColor rgb="FFD4A017"/>
      <rgbColor rgb="FFE67E22"/>
      <rgbColor rgb="FF6B7280"/>
      <rgbColor rgb="FFC9A84C"/>
      <rgbColor rgb="FF1A3A5C"/>
      <rgbColor rgb="FF27AE60"/>
      <rgbColor rgb="FF145A32"/>
      <rgbColor rgb="FF1F2D4E"/>
      <rgbColor rgb="FFC0392B"/>
      <rgbColor rgb="FF993366"/>
      <rgbColor rgb="FF2E4070"/>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2D4E"/>
  </sheetPr>
  <dimension ref="B2:E27"/>
  <sheetViews>
    <sheetView showGridLines="0" tabSelected="1" zoomScaleNormal="100" workbookViewId="0"/>
  </sheetViews>
  <sheetFormatPr defaultColWidth="8.6640625" defaultRowHeight="14.25" x14ac:dyDescent="0.45"/>
  <cols>
    <col min="1" max="1" width="3" customWidth="1"/>
    <col min="2" max="3" width="32" customWidth="1"/>
    <col min="4" max="5" width="20" customWidth="1"/>
    <col min="6" max="6" width="3" customWidth="1"/>
  </cols>
  <sheetData>
    <row r="2" spans="2:5" ht="21.75" customHeight="1" x14ac:dyDescent="0.45">
      <c r="B2" s="141" t="s">
        <v>0</v>
      </c>
      <c r="C2" s="138"/>
      <c r="D2" s="138"/>
      <c r="E2" s="138"/>
    </row>
    <row r="3" spans="2:5" ht="21.75" customHeight="1" x14ac:dyDescent="0.45">
      <c r="B3" s="142" t="s">
        <v>1</v>
      </c>
      <c r="C3" s="138"/>
      <c r="D3" s="138"/>
      <c r="E3" s="138"/>
    </row>
    <row r="4" spans="2:5" ht="21.75" customHeight="1" x14ac:dyDescent="0.45">
      <c r="B4" s="144" t="s">
        <v>2</v>
      </c>
      <c r="C4" s="138"/>
      <c r="D4" s="138"/>
      <c r="E4" s="138"/>
    </row>
    <row r="5" spans="2:5" ht="21.75" customHeight="1" x14ac:dyDescent="0.45">
      <c r="B5" s="1"/>
      <c r="C5" s="1"/>
      <c r="D5" s="1"/>
      <c r="E5" s="1"/>
    </row>
    <row r="6" spans="2:5" ht="21.75" customHeight="1" x14ac:dyDescent="0.45">
      <c r="B6" s="140" t="s">
        <v>3</v>
      </c>
      <c r="C6" s="138"/>
      <c r="D6" s="139" t="s">
        <v>4</v>
      </c>
      <c r="E6" s="138"/>
    </row>
    <row r="7" spans="2:5" ht="21.75" customHeight="1" x14ac:dyDescent="0.45">
      <c r="B7" s="140" t="s">
        <v>5</v>
      </c>
      <c r="C7" s="138"/>
      <c r="D7" s="139" t="s">
        <v>6</v>
      </c>
      <c r="E7" s="138"/>
    </row>
    <row r="8" spans="2:5" ht="21.75" customHeight="1" x14ac:dyDescent="0.45">
      <c r="B8" s="140" t="s">
        <v>7</v>
      </c>
      <c r="C8" s="138"/>
      <c r="D8" s="139" t="s">
        <v>8</v>
      </c>
      <c r="E8" s="138"/>
    </row>
    <row r="9" spans="2:5" ht="21.75" customHeight="1" x14ac:dyDescent="0.45">
      <c r="B9" s="140" t="s">
        <v>9</v>
      </c>
      <c r="C9" s="138"/>
      <c r="D9" s="139" t="s">
        <v>10</v>
      </c>
      <c r="E9" s="138"/>
    </row>
    <row r="10" spans="2:5" ht="21.75" customHeight="1" x14ac:dyDescent="0.45">
      <c r="B10" s="140" t="s">
        <v>11</v>
      </c>
      <c r="C10" s="138"/>
      <c r="D10" s="139" t="s">
        <v>12</v>
      </c>
      <c r="E10" s="138"/>
    </row>
    <row r="11" spans="2:5" ht="21.75" customHeight="1" x14ac:dyDescent="0.45">
      <c r="B11" s="140" t="s">
        <v>13</v>
      </c>
      <c r="C11" s="138"/>
      <c r="D11" s="139" t="s">
        <v>14</v>
      </c>
      <c r="E11" s="138"/>
    </row>
    <row r="12" spans="2:5" ht="21.75" customHeight="1" x14ac:dyDescent="0.45">
      <c r="B12" s="140" t="s">
        <v>15</v>
      </c>
      <c r="C12" s="138"/>
      <c r="D12" s="139" t="s">
        <v>16</v>
      </c>
      <c r="E12" s="138"/>
    </row>
    <row r="13" spans="2:5" ht="21.75" customHeight="1" x14ac:dyDescent="0.45">
      <c r="B13" s="140" t="s">
        <v>17</v>
      </c>
      <c r="C13" s="138"/>
      <c r="D13" s="139" t="s">
        <v>18</v>
      </c>
      <c r="E13" s="138"/>
    </row>
    <row r="14" spans="2:5" ht="21.75" customHeight="1" x14ac:dyDescent="0.45">
      <c r="B14" s="140" t="s">
        <v>19</v>
      </c>
      <c r="C14" s="138"/>
      <c r="D14" s="139" t="s">
        <v>20</v>
      </c>
      <c r="E14" s="138"/>
    </row>
    <row r="15" spans="2:5" ht="21.75" customHeight="1" x14ac:dyDescent="0.45">
      <c r="B15" s="140" t="s">
        <v>21</v>
      </c>
      <c r="C15" s="138"/>
      <c r="D15" s="139" t="s">
        <v>22</v>
      </c>
      <c r="E15" s="138"/>
    </row>
    <row r="16" spans="2:5" ht="21.75" customHeight="1" x14ac:dyDescent="0.45">
      <c r="B16" s="140" t="s">
        <v>23</v>
      </c>
      <c r="C16" s="138"/>
      <c r="D16" s="139" t="s">
        <v>24</v>
      </c>
      <c r="E16" s="138"/>
    </row>
    <row r="17" spans="2:5" ht="21.75" customHeight="1" x14ac:dyDescent="0.45">
      <c r="B17" s="140" t="s">
        <v>25</v>
      </c>
      <c r="C17" s="138"/>
      <c r="D17" s="139" t="s">
        <v>26</v>
      </c>
      <c r="E17" s="138"/>
    </row>
    <row r="18" spans="2:5" ht="21.75" customHeight="1" x14ac:dyDescent="0.45">
      <c r="B18" s="140" t="s">
        <v>27</v>
      </c>
      <c r="C18" s="138"/>
      <c r="D18" s="139" t="s">
        <v>28</v>
      </c>
      <c r="E18" s="138"/>
    </row>
    <row r="19" spans="2:5" ht="21.75" customHeight="1" x14ac:dyDescent="0.45">
      <c r="B19" s="140" t="s">
        <v>29</v>
      </c>
      <c r="C19" s="138"/>
      <c r="D19" s="139" t="s">
        <v>30</v>
      </c>
      <c r="E19" s="138"/>
    </row>
    <row r="20" spans="2:5" ht="21.75" customHeight="1" x14ac:dyDescent="0.45">
      <c r="B20" s="140" t="s">
        <v>31</v>
      </c>
      <c r="C20" s="138"/>
      <c r="D20" s="139" t="s">
        <v>32</v>
      </c>
      <c r="E20" s="138"/>
    </row>
    <row r="22" spans="2:5" ht="6" customHeight="1" x14ac:dyDescent="0.45"/>
    <row r="23" spans="2:5" ht="60" customHeight="1" x14ac:dyDescent="0.45">
      <c r="B23" s="143" t="s">
        <v>33</v>
      </c>
      <c r="C23" s="138"/>
      <c r="D23" s="138"/>
      <c r="E23" s="138"/>
    </row>
    <row r="24" spans="2:5" ht="15" customHeight="1" x14ac:dyDescent="0.45">
      <c r="B24" s="138"/>
      <c r="C24" s="138"/>
      <c r="D24" s="138"/>
      <c r="E24" s="138"/>
    </row>
    <row r="25" spans="2:5" ht="15" customHeight="1" x14ac:dyDescent="0.45">
      <c r="B25" s="138"/>
      <c r="C25" s="138"/>
      <c r="D25" s="138"/>
      <c r="E25" s="138"/>
    </row>
    <row r="26" spans="2:5" ht="15" customHeight="1" x14ac:dyDescent="0.45">
      <c r="B26" s="138"/>
      <c r="C26" s="138"/>
      <c r="D26" s="138"/>
      <c r="E26" s="138"/>
    </row>
    <row r="27" spans="2:5" ht="27.75" customHeight="1" x14ac:dyDescent="0.45">
      <c r="B27" s="137" t="s">
        <v>34</v>
      </c>
      <c r="C27" s="138"/>
      <c r="D27" s="138"/>
      <c r="E27" s="138"/>
    </row>
  </sheetData>
  <mergeCells count="35">
    <mergeCell ref="D6:E6"/>
    <mergeCell ref="B23:E26"/>
    <mergeCell ref="B4:E4"/>
    <mergeCell ref="B11:C11"/>
    <mergeCell ref="D11:E11"/>
    <mergeCell ref="D13:E13"/>
    <mergeCell ref="B14:C14"/>
    <mergeCell ref="D20:E20"/>
    <mergeCell ref="B16:C16"/>
    <mergeCell ref="D10:E10"/>
    <mergeCell ref="B7:C7"/>
    <mergeCell ref="D19:E19"/>
    <mergeCell ref="B18:C18"/>
    <mergeCell ref="B12:C12"/>
    <mergeCell ref="B17:C17"/>
    <mergeCell ref="D17:E17"/>
    <mergeCell ref="B8:C8"/>
    <mergeCell ref="B13:C13"/>
    <mergeCell ref="D16:E16"/>
    <mergeCell ref="B27:E27"/>
    <mergeCell ref="D7:E7"/>
    <mergeCell ref="B19:C19"/>
    <mergeCell ref="B10:C10"/>
    <mergeCell ref="B2:E2"/>
    <mergeCell ref="D18:E18"/>
    <mergeCell ref="B9:C9"/>
    <mergeCell ref="D9:E9"/>
    <mergeCell ref="D12:E12"/>
    <mergeCell ref="D8:E8"/>
    <mergeCell ref="B6:C6"/>
    <mergeCell ref="B15:C15"/>
    <mergeCell ref="D15:E15"/>
    <mergeCell ref="B20:C20"/>
    <mergeCell ref="D14:E14"/>
    <mergeCell ref="B3:E3"/>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C3E50"/>
  </sheetPr>
  <dimension ref="B1:D14"/>
  <sheetViews>
    <sheetView showGridLines="0" zoomScaleNormal="100" workbookViewId="0"/>
  </sheetViews>
  <sheetFormatPr defaultColWidth="8.6640625" defaultRowHeight="14.25" x14ac:dyDescent="0.45"/>
  <cols>
    <col min="1" max="1" width="3" customWidth="1"/>
    <col min="2" max="2" width="40" customWidth="1"/>
    <col min="3" max="3" width="55" customWidth="1"/>
    <col min="4" max="4" width="24" customWidth="1"/>
    <col min="5" max="5" width="3" customWidth="1"/>
  </cols>
  <sheetData>
    <row r="1" spans="2:4" ht="25.5" customHeight="1" x14ac:dyDescent="0.45">
      <c r="B1" s="147" t="s">
        <v>570</v>
      </c>
      <c r="C1" s="138"/>
      <c r="D1" s="138"/>
    </row>
    <row r="3" spans="2:4" ht="19.5" customHeight="1" x14ac:dyDescent="0.45">
      <c r="B3" s="169" t="s">
        <v>571</v>
      </c>
      <c r="C3" s="138"/>
      <c r="D3" s="138"/>
    </row>
    <row r="4" spans="2:4" ht="144.75" customHeight="1" x14ac:dyDescent="0.45">
      <c r="B4" s="95" t="s">
        <v>572</v>
      </c>
      <c r="C4" s="97" t="s">
        <v>573</v>
      </c>
      <c r="D4" s="104" t="s">
        <v>574</v>
      </c>
    </row>
    <row r="5" spans="2:4" ht="163.5" customHeight="1" x14ac:dyDescent="0.45">
      <c r="B5" s="95" t="s">
        <v>575</v>
      </c>
      <c r="C5" s="97" t="s">
        <v>576</v>
      </c>
      <c r="D5" s="104" t="s">
        <v>577</v>
      </c>
    </row>
    <row r="6" spans="2:4" ht="147.75" customHeight="1" x14ac:dyDescent="0.45">
      <c r="B6" s="95" t="s">
        <v>578</v>
      </c>
      <c r="C6" s="97" t="s">
        <v>579</v>
      </c>
      <c r="D6" s="104" t="s">
        <v>580</v>
      </c>
    </row>
    <row r="7" spans="2:4" ht="19.5" customHeight="1" x14ac:dyDescent="0.45">
      <c r="B7" s="167" t="s">
        <v>581</v>
      </c>
      <c r="C7" s="138"/>
      <c r="D7" s="138"/>
    </row>
    <row r="8" spans="2:4" ht="162" customHeight="1" x14ac:dyDescent="0.45">
      <c r="B8" s="98" t="s">
        <v>582</v>
      </c>
      <c r="C8" s="100" t="s">
        <v>583</v>
      </c>
      <c r="D8" s="105" t="s">
        <v>584</v>
      </c>
    </row>
    <row r="9" spans="2:4" ht="139.5" customHeight="1" x14ac:dyDescent="0.45">
      <c r="B9" s="98" t="s">
        <v>585</v>
      </c>
      <c r="C9" s="100" t="s">
        <v>586</v>
      </c>
      <c r="D9" s="105" t="s">
        <v>587</v>
      </c>
    </row>
    <row r="10" spans="2:4" ht="109.5" customHeight="1" x14ac:dyDescent="0.45">
      <c r="B10" s="98" t="s">
        <v>588</v>
      </c>
      <c r="C10" s="100" t="s">
        <v>589</v>
      </c>
      <c r="D10" s="105" t="s">
        <v>590</v>
      </c>
    </row>
    <row r="11" spans="2:4" ht="19.5" customHeight="1" x14ac:dyDescent="0.45">
      <c r="B11" s="168" t="s">
        <v>591</v>
      </c>
      <c r="C11" s="138"/>
      <c r="D11" s="138"/>
    </row>
    <row r="12" spans="2:4" ht="136.5" customHeight="1" x14ac:dyDescent="0.45">
      <c r="B12" s="106" t="s">
        <v>592</v>
      </c>
      <c r="C12" s="107" t="s">
        <v>593</v>
      </c>
      <c r="D12" s="108" t="s">
        <v>594</v>
      </c>
    </row>
    <row r="13" spans="2:4" ht="162.75" customHeight="1" x14ac:dyDescent="0.45">
      <c r="B13" s="106" t="s">
        <v>595</v>
      </c>
      <c r="C13" s="107" t="s">
        <v>596</v>
      </c>
      <c r="D13" s="108" t="s">
        <v>597</v>
      </c>
    </row>
    <row r="14" spans="2:4" ht="129" customHeight="1" x14ac:dyDescent="0.45">
      <c r="B14" s="106" t="s">
        <v>598</v>
      </c>
      <c r="C14" s="107" t="s">
        <v>599</v>
      </c>
      <c r="D14" s="108" t="s">
        <v>600</v>
      </c>
    </row>
  </sheetData>
  <mergeCells count="4">
    <mergeCell ref="B7:D7"/>
    <mergeCell ref="B1:D1"/>
    <mergeCell ref="B11:D11"/>
    <mergeCell ref="B3:D3"/>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6A085"/>
  </sheetPr>
  <dimension ref="B1:B16"/>
  <sheetViews>
    <sheetView showGridLines="0" zoomScaleNormal="100" workbookViewId="0"/>
  </sheetViews>
  <sheetFormatPr defaultColWidth="8.6640625" defaultRowHeight="14.25" x14ac:dyDescent="0.45"/>
  <cols>
    <col min="1" max="1" width="3" customWidth="1"/>
    <col min="2" max="2" width="70" customWidth="1"/>
    <col min="3" max="3" width="3" customWidth="1"/>
  </cols>
  <sheetData>
    <row r="1" spans="2:2" ht="30" customHeight="1" x14ac:dyDescent="0.45">
      <c r="B1" s="2" t="s">
        <v>601</v>
      </c>
    </row>
    <row r="3" spans="2:2" ht="25.5" customHeight="1" x14ac:dyDescent="0.45">
      <c r="B3" s="109" t="s">
        <v>602</v>
      </c>
    </row>
    <row r="4" spans="2:2" ht="109.5" customHeight="1" x14ac:dyDescent="0.45">
      <c r="B4" s="110" t="s">
        <v>603</v>
      </c>
    </row>
    <row r="5" spans="2:2" ht="25.5" customHeight="1" x14ac:dyDescent="0.45">
      <c r="B5" s="111" t="s">
        <v>604</v>
      </c>
    </row>
    <row r="6" spans="2:2" ht="393" customHeight="1" x14ac:dyDescent="0.45">
      <c r="B6" s="112" t="s">
        <v>605</v>
      </c>
    </row>
    <row r="7" spans="2:2" ht="25.5" customHeight="1" x14ac:dyDescent="0.45">
      <c r="B7" s="113" t="s">
        <v>606</v>
      </c>
    </row>
    <row r="8" spans="2:2" ht="328.5" customHeight="1" x14ac:dyDescent="0.45">
      <c r="B8" s="112" t="s">
        <v>607</v>
      </c>
    </row>
    <row r="9" spans="2:2" ht="25.5" customHeight="1" x14ac:dyDescent="0.45">
      <c r="B9" s="114" t="s">
        <v>608</v>
      </c>
    </row>
    <row r="10" spans="2:2" ht="357" customHeight="1" x14ac:dyDescent="0.45">
      <c r="B10" s="112" t="s">
        <v>609</v>
      </c>
    </row>
    <row r="11" spans="2:2" ht="25.5" customHeight="1" x14ac:dyDescent="0.45">
      <c r="B11" s="115" t="s">
        <v>610</v>
      </c>
    </row>
    <row r="12" spans="2:2" ht="409.6" customHeight="1" x14ac:dyDescent="0.45">
      <c r="B12" s="112" t="s">
        <v>611</v>
      </c>
    </row>
    <row r="13" spans="2:2" ht="25.5" customHeight="1" x14ac:dyDescent="0.45">
      <c r="B13" s="116" t="s">
        <v>612</v>
      </c>
    </row>
    <row r="14" spans="2:2" ht="409.6" customHeight="1" x14ac:dyDescent="0.45">
      <c r="B14" s="112" t="s">
        <v>613</v>
      </c>
    </row>
    <row r="15" spans="2:2" ht="25.5" customHeight="1" x14ac:dyDescent="0.45">
      <c r="B15" s="117" t="s">
        <v>614</v>
      </c>
    </row>
    <row r="16" spans="2:2" ht="280.5" customHeight="1" x14ac:dyDescent="0.45">
      <c r="B16" s="110" t="s">
        <v>615</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A84C"/>
  </sheetPr>
  <dimension ref="B1:F70"/>
  <sheetViews>
    <sheetView showGridLines="0" zoomScaleNormal="100" workbookViewId="0">
      <pane xSplit="2" ySplit="3" topLeftCell="C56" activePane="bottomRight" state="frozen"/>
      <selection pane="topRight" activeCell="C1" sqref="C1"/>
      <selection pane="bottomLeft" activeCell="A4" sqref="A4"/>
      <selection pane="bottomRight"/>
    </sheetView>
  </sheetViews>
  <sheetFormatPr defaultColWidth="8.6640625" defaultRowHeight="14.25" x14ac:dyDescent="0.45"/>
  <cols>
    <col min="1" max="1" width="3" customWidth="1"/>
    <col min="2" max="2" width="42" customWidth="1"/>
    <col min="3" max="3" width="14" customWidth="1"/>
    <col min="4" max="4" width="16" customWidth="1"/>
    <col min="5" max="5" width="52" customWidth="1"/>
    <col min="6" max="6" width="18" customWidth="1"/>
    <col min="7" max="7" width="3" customWidth="1"/>
  </cols>
  <sheetData>
    <row r="1" spans="2:6" ht="27.75" customHeight="1" x14ac:dyDescent="0.45">
      <c r="B1" s="146" t="s">
        <v>35</v>
      </c>
      <c r="C1" s="138"/>
      <c r="D1" s="138"/>
      <c r="E1" s="138"/>
      <c r="F1" s="138"/>
    </row>
    <row r="3" spans="2:6" ht="19.5" customHeight="1" x14ac:dyDescent="0.45">
      <c r="B3" s="3" t="s">
        <v>36</v>
      </c>
      <c r="C3" s="3" t="s">
        <v>37</v>
      </c>
      <c r="D3" s="3" t="s">
        <v>38</v>
      </c>
      <c r="E3" s="3" t="s">
        <v>39</v>
      </c>
      <c r="F3" s="3" t="s">
        <v>40</v>
      </c>
    </row>
    <row r="4" spans="2:6" ht="19.5" customHeight="1" x14ac:dyDescent="0.45">
      <c r="B4" s="145" t="s">
        <v>41</v>
      </c>
      <c r="C4" s="138"/>
      <c r="D4" s="138"/>
      <c r="E4" s="138"/>
      <c r="F4" s="138"/>
    </row>
    <row r="5" spans="2:6" ht="27.75" customHeight="1" x14ac:dyDescent="0.45">
      <c r="B5" s="4" t="s">
        <v>42</v>
      </c>
      <c r="C5" s="5" t="s">
        <v>43</v>
      </c>
      <c r="D5" s="6" t="s">
        <v>44</v>
      </c>
      <c r="E5" s="7" t="s">
        <v>45</v>
      </c>
      <c r="F5" s="8" t="s">
        <v>46</v>
      </c>
    </row>
    <row r="6" spans="2:6" ht="27.75" customHeight="1" x14ac:dyDescent="0.45">
      <c r="B6" s="9" t="s">
        <v>47</v>
      </c>
      <c r="C6" s="10" t="s">
        <v>48</v>
      </c>
      <c r="D6" s="11" t="s">
        <v>49</v>
      </c>
      <c r="E6" s="12" t="s">
        <v>50</v>
      </c>
      <c r="F6" s="8" t="s">
        <v>46</v>
      </c>
    </row>
    <row r="7" spans="2:6" ht="27.75" customHeight="1" x14ac:dyDescent="0.45">
      <c r="B7" s="4" t="s">
        <v>51</v>
      </c>
      <c r="C7" s="5" t="s">
        <v>52</v>
      </c>
      <c r="D7" s="6" t="s">
        <v>49</v>
      </c>
      <c r="E7" s="7" t="s">
        <v>53</v>
      </c>
      <c r="F7" s="8" t="s">
        <v>46</v>
      </c>
    </row>
    <row r="8" spans="2:6" ht="27.75" customHeight="1" x14ac:dyDescent="0.45">
      <c r="B8" s="9" t="s">
        <v>54</v>
      </c>
      <c r="C8" s="10" t="s">
        <v>55</v>
      </c>
      <c r="D8" s="11" t="s">
        <v>49</v>
      </c>
      <c r="E8" s="12" t="s">
        <v>56</v>
      </c>
      <c r="F8" s="8" t="s">
        <v>46</v>
      </c>
    </row>
    <row r="9" spans="2:6" ht="27.75" customHeight="1" x14ac:dyDescent="0.45">
      <c r="B9" s="4" t="s">
        <v>21</v>
      </c>
      <c r="C9" s="5" t="s">
        <v>57</v>
      </c>
      <c r="D9" s="6" t="s">
        <v>49</v>
      </c>
      <c r="E9" s="7" t="s">
        <v>58</v>
      </c>
      <c r="F9" s="8" t="s">
        <v>46</v>
      </c>
    </row>
    <row r="10" spans="2:6" ht="27.75" customHeight="1" x14ac:dyDescent="0.45">
      <c r="B10" s="9" t="s">
        <v>59</v>
      </c>
      <c r="C10" s="10" t="s">
        <v>60</v>
      </c>
      <c r="D10" s="11" t="s">
        <v>61</v>
      </c>
      <c r="E10" s="12" t="s">
        <v>62</v>
      </c>
      <c r="F10" s="8" t="s">
        <v>46</v>
      </c>
    </row>
    <row r="11" spans="2:6" ht="27.75" customHeight="1" x14ac:dyDescent="0.45">
      <c r="B11" s="4" t="s">
        <v>63</v>
      </c>
      <c r="C11" s="5" t="s">
        <v>64</v>
      </c>
      <c r="D11" s="6" t="s">
        <v>49</v>
      </c>
      <c r="E11" s="7" t="s">
        <v>65</v>
      </c>
      <c r="F11" s="8" t="s">
        <v>46</v>
      </c>
    </row>
    <row r="12" spans="2:6" ht="27.75" customHeight="1" x14ac:dyDescent="0.45">
      <c r="B12" s="9" t="s">
        <v>66</v>
      </c>
      <c r="C12" s="10" t="s">
        <v>67</v>
      </c>
      <c r="D12" s="11" t="s">
        <v>49</v>
      </c>
      <c r="E12" s="12" t="s">
        <v>68</v>
      </c>
      <c r="F12" s="8" t="s">
        <v>46</v>
      </c>
    </row>
    <row r="14" spans="2:6" ht="19.5" customHeight="1" x14ac:dyDescent="0.45">
      <c r="B14" s="145" t="s">
        <v>69</v>
      </c>
      <c r="C14" s="138"/>
      <c r="D14" s="138"/>
      <c r="E14" s="138"/>
      <c r="F14" s="138"/>
    </row>
    <row r="15" spans="2:6" ht="27.75" customHeight="1" x14ac:dyDescent="0.45">
      <c r="B15" s="4" t="s">
        <v>70</v>
      </c>
      <c r="C15" s="5" t="s">
        <v>71</v>
      </c>
      <c r="D15" s="6" t="s">
        <v>72</v>
      </c>
      <c r="E15" s="7" t="s">
        <v>73</v>
      </c>
      <c r="F15" s="13" t="s">
        <v>74</v>
      </c>
    </row>
    <row r="16" spans="2:6" ht="27.75" customHeight="1" x14ac:dyDescent="0.45">
      <c r="B16" s="9" t="s">
        <v>75</v>
      </c>
      <c r="C16" s="10" t="s">
        <v>76</v>
      </c>
      <c r="D16" s="11" t="s">
        <v>77</v>
      </c>
      <c r="E16" s="12" t="s">
        <v>78</v>
      </c>
      <c r="F16" s="8" t="s">
        <v>46</v>
      </c>
    </row>
    <row r="17" spans="2:6" ht="27.75" customHeight="1" x14ac:dyDescent="0.45">
      <c r="B17" s="4" t="s">
        <v>79</v>
      </c>
      <c r="C17" s="5" t="s">
        <v>80</v>
      </c>
      <c r="D17" s="6" t="s">
        <v>77</v>
      </c>
      <c r="E17" s="7" t="s">
        <v>81</v>
      </c>
      <c r="F17" s="8" t="s">
        <v>46</v>
      </c>
    </row>
    <row r="18" spans="2:6" ht="27.75" customHeight="1" x14ac:dyDescent="0.45">
      <c r="B18" s="9" t="s">
        <v>82</v>
      </c>
      <c r="C18" s="10" t="s">
        <v>83</v>
      </c>
      <c r="D18" s="11" t="s">
        <v>77</v>
      </c>
      <c r="E18" s="12" t="s">
        <v>84</v>
      </c>
      <c r="F18" s="8" t="s">
        <v>46</v>
      </c>
    </row>
    <row r="19" spans="2:6" ht="27.75" customHeight="1" x14ac:dyDescent="0.45">
      <c r="B19" s="4" t="s">
        <v>85</v>
      </c>
      <c r="C19" s="5" t="s">
        <v>86</v>
      </c>
      <c r="D19" s="6" t="s">
        <v>77</v>
      </c>
      <c r="E19" s="7" t="s">
        <v>87</v>
      </c>
      <c r="F19" s="8" t="s">
        <v>46</v>
      </c>
    </row>
    <row r="20" spans="2:6" ht="27.75" customHeight="1" x14ac:dyDescent="0.45">
      <c r="B20" s="9" t="s">
        <v>88</v>
      </c>
      <c r="C20" s="118">
        <v>0.16900000000000001</v>
      </c>
      <c r="D20" s="11" t="s">
        <v>77</v>
      </c>
      <c r="E20" s="12" t="s">
        <v>89</v>
      </c>
      <c r="F20" s="8" t="s">
        <v>46</v>
      </c>
    </row>
    <row r="21" spans="2:6" ht="27.75" customHeight="1" x14ac:dyDescent="0.45">
      <c r="B21" s="4" t="s">
        <v>90</v>
      </c>
      <c r="C21" s="5" t="s">
        <v>91</v>
      </c>
      <c r="D21" s="6" t="s">
        <v>77</v>
      </c>
      <c r="E21" s="7" t="s">
        <v>92</v>
      </c>
      <c r="F21" s="8" t="s">
        <v>46</v>
      </c>
    </row>
    <row r="22" spans="2:6" ht="27.75" customHeight="1" x14ac:dyDescent="0.45">
      <c r="B22" s="9" t="s">
        <v>93</v>
      </c>
      <c r="C22" s="119">
        <v>1.5</v>
      </c>
      <c r="D22" s="11" t="s">
        <v>77</v>
      </c>
      <c r="E22" s="12" t="s">
        <v>94</v>
      </c>
      <c r="F22" s="8" t="s">
        <v>46</v>
      </c>
    </row>
    <row r="23" spans="2:6" ht="27.75" customHeight="1" x14ac:dyDescent="0.45">
      <c r="B23" s="4" t="s">
        <v>95</v>
      </c>
      <c r="C23" s="120">
        <v>0.23499999999999999</v>
      </c>
      <c r="D23" s="6" t="s">
        <v>77</v>
      </c>
      <c r="E23" s="7" t="s">
        <v>96</v>
      </c>
      <c r="F23" s="8" t="s">
        <v>46</v>
      </c>
    </row>
    <row r="24" spans="2:6" ht="27.75" customHeight="1" x14ac:dyDescent="0.45">
      <c r="B24" s="9" t="s">
        <v>97</v>
      </c>
      <c r="C24" s="118">
        <v>2.8000000000000001E-2</v>
      </c>
      <c r="D24" s="11" t="s">
        <v>98</v>
      </c>
      <c r="E24" s="12" t="s">
        <v>99</v>
      </c>
      <c r="F24" s="8" t="s">
        <v>46</v>
      </c>
    </row>
    <row r="26" spans="2:6" ht="19.5" customHeight="1" x14ac:dyDescent="0.45">
      <c r="B26" s="145" t="s">
        <v>100</v>
      </c>
      <c r="C26" s="138"/>
      <c r="D26" s="138"/>
      <c r="E26" s="138"/>
      <c r="F26" s="138"/>
    </row>
    <row r="27" spans="2:6" ht="27.75" customHeight="1" x14ac:dyDescent="0.45">
      <c r="B27" s="4" t="s">
        <v>101</v>
      </c>
      <c r="C27" s="5" t="s">
        <v>102</v>
      </c>
      <c r="D27" s="6" t="s">
        <v>77</v>
      </c>
      <c r="E27" s="7" t="s">
        <v>103</v>
      </c>
      <c r="F27" s="8" t="s">
        <v>46</v>
      </c>
    </row>
    <row r="28" spans="2:6" ht="27.75" customHeight="1" x14ac:dyDescent="0.45">
      <c r="B28" s="9" t="s">
        <v>104</v>
      </c>
      <c r="C28" s="10" t="s">
        <v>105</v>
      </c>
      <c r="D28" s="11" t="s">
        <v>77</v>
      </c>
      <c r="E28" s="12" t="s">
        <v>106</v>
      </c>
      <c r="F28" s="8" t="s">
        <v>46</v>
      </c>
    </row>
    <row r="29" spans="2:6" ht="27.75" customHeight="1" x14ac:dyDescent="0.45">
      <c r="B29" s="4" t="s">
        <v>107</v>
      </c>
      <c r="C29" s="5" t="s">
        <v>108</v>
      </c>
      <c r="D29" s="6" t="s">
        <v>77</v>
      </c>
      <c r="E29" s="7" t="s">
        <v>109</v>
      </c>
      <c r="F29" s="8" t="s">
        <v>46</v>
      </c>
    </row>
    <row r="30" spans="2:6" ht="27.75" customHeight="1" x14ac:dyDescent="0.45">
      <c r="B30" s="9" t="s">
        <v>110</v>
      </c>
      <c r="C30" s="10" t="s">
        <v>111</v>
      </c>
      <c r="D30" s="11" t="s">
        <v>77</v>
      </c>
      <c r="E30" s="12" t="s">
        <v>112</v>
      </c>
      <c r="F30" s="8" t="s">
        <v>46</v>
      </c>
    </row>
    <row r="31" spans="2:6" ht="27.75" customHeight="1" x14ac:dyDescent="0.45">
      <c r="B31" s="4" t="s">
        <v>113</v>
      </c>
      <c r="C31" s="121">
        <v>2.1</v>
      </c>
      <c r="D31" s="6" t="s">
        <v>49</v>
      </c>
      <c r="E31" s="7" t="s">
        <v>114</v>
      </c>
      <c r="F31" s="8" t="s">
        <v>46</v>
      </c>
    </row>
    <row r="32" spans="2:6" ht="27.75" customHeight="1" x14ac:dyDescent="0.45">
      <c r="B32" s="9" t="s">
        <v>115</v>
      </c>
      <c r="C32" s="10" t="s">
        <v>116</v>
      </c>
      <c r="D32" s="11" t="s">
        <v>49</v>
      </c>
      <c r="E32" s="12" t="s">
        <v>117</v>
      </c>
      <c r="F32" s="8" t="s">
        <v>46</v>
      </c>
    </row>
    <row r="33" spans="2:6" ht="27.75" customHeight="1" x14ac:dyDescent="0.45">
      <c r="B33" s="4" t="s">
        <v>118</v>
      </c>
      <c r="C33" s="5" t="s">
        <v>119</v>
      </c>
      <c r="D33" s="6" t="s">
        <v>49</v>
      </c>
      <c r="E33" s="7" t="s">
        <v>120</v>
      </c>
      <c r="F33" s="8" t="s">
        <v>46</v>
      </c>
    </row>
    <row r="34" spans="2:6" ht="27.75" customHeight="1" x14ac:dyDescent="0.45">
      <c r="B34" s="9" t="s">
        <v>121</v>
      </c>
      <c r="C34" s="10" t="s">
        <v>122</v>
      </c>
      <c r="D34" s="11" t="s">
        <v>49</v>
      </c>
      <c r="E34" s="12" t="s">
        <v>123</v>
      </c>
      <c r="F34" s="8" t="s">
        <v>46</v>
      </c>
    </row>
    <row r="35" spans="2:6" ht="27.75" customHeight="1" x14ac:dyDescent="0.45">
      <c r="B35" s="4" t="s">
        <v>124</v>
      </c>
      <c r="C35" s="5" t="s">
        <v>125</v>
      </c>
      <c r="D35" s="6" t="s">
        <v>49</v>
      </c>
      <c r="E35" s="7" t="s">
        <v>126</v>
      </c>
      <c r="F35" s="8" t="s">
        <v>46</v>
      </c>
    </row>
    <row r="37" spans="2:6" ht="19.5" customHeight="1" x14ac:dyDescent="0.45">
      <c r="B37" s="145" t="s">
        <v>127</v>
      </c>
      <c r="C37" s="138"/>
      <c r="D37" s="138"/>
      <c r="E37" s="138"/>
      <c r="F37" s="138"/>
    </row>
    <row r="38" spans="2:6" ht="27.75" customHeight="1" x14ac:dyDescent="0.45">
      <c r="B38" s="4" t="s">
        <v>128</v>
      </c>
      <c r="C38" s="122">
        <v>2020</v>
      </c>
      <c r="D38" s="6" t="s">
        <v>49</v>
      </c>
      <c r="E38" s="7" t="s">
        <v>129</v>
      </c>
      <c r="F38" s="8" t="s">
        <v>46</v>
      </c>
    </row>
    <row r="39" spans="2:6" ht="27.75" customHeight="1" x14ac:dyDescent="0.45">
      <c r="B39" s="9" t="s">
        <v>130</v>
      </c>
      <c r="C39" s="10" t="s">
        <v>131</v>
      </c>
      <c r="D39" s="11" t="s">
        <v>132</v>
      </c>
      <c r="E39" s="12" t="s">
        <v>133</v>
      </c>
      <c r="F39" s="8" t="s">
        <v>46</v>
      </c>
    </row>
    <row r="40" spans="2:6" ht="27.75" customHeight="1" x14ac:dyDescent="0.45">
      <c r="B40" s="4" t="s">
        <v>134</v>
      </c>
      <c r="C40" s="5" t="s">
        <v>135</v>
      </c>
      <c r="D40" s="6" t="s">
        <v>136</v>
      </c>
      <c r="E40" s="7" t="s">
        <v>137</v>
      </c>
      <c r="F40" s="13" t="s">
        <v>74</v>
      </c>
    </row>
    <row r="41" spans="2:6" ht="27.75" customHeight="1" x14ac:dyDescent="0.45">
      <c r="B41" s="9" t="s">
        <v>138</v>
      </c>
      <c r="C41" s="10" t="s">
        <v>139</v>
      </c>
      <c r="D41" s="11" t="s">
        <v>140</v>
      </c>
      <c r="E41" s="12" t="s">
        <v>141</v>
      </c>
      <c r="F41" s="13" t="s">
        <v>74</v>
      </c>
    </row>
    <row r="42" spans="2:6" ht="27.75" customHeight="1" x14ac:dyDescent="0.45">
      <c r="B42" s="4" t="s">
        <v>142</v>
      </c>
      <c r="C42" s="5" t="s">
        <v>143</v>
      </c>
      <c r="D42" s="6" t="s">
        <v>77</v>
      </c>
      <c r="E42" s="7" t="s">
        <v>144</v>
      </c>
      <c r="F42" s="8" t="s">
        <v>46</v>
      </c>
    </row>
    <row r="43" spans="2:6" ht="27.75" customHeight="1" x14ac:dyDescent="0.45">
      <c r="B43" s="9" t="s">
        <v>145</v>
      </c>
      <c r="C43" s="10" t="s">
        <v>146</v>
      </c>
      <c r="D43" s="11" t="s">
        <v>77</v>
      </c>
      <c r="E43" s="12" t="s">
        <v>147</v>
      </c>
      <c r="F43" s="8" t="s">
        <v>46</v>
      </c>
    </row>
    <row r="44" spans="2:6" ht="27.75" customHeight="1" x14ac:dyDescent="0.45">
      <c r="B44" s="4" t="s">
        <v>148</v>
      </c>
      <c r="C44" s="5" t="s">
        <v>149</v>
      </c>
      <c r="D44" s="6" t="s">
        <v>49</v>
      </c>
      <c r="E44" s="7" t="s">
        <v>150</v>
      </c>
      <c r="F44" s="8" t="s">
        <v>46</v>
      </c>
    </row>
    <row r="45" spans="2:6" ht="27.75" customHeight="1" x14ac:dyDescent="0.45">
      <c r="B45" s="9" t="s">
        <v>151</v>
      </c>
      <c r="C45" s="10" t="s">
        <v>152</v>
      </c>
      <c r="D45" s="11" t="s">
        <v>49</v>
      </c>
      <c r="E45" s="12" t="s">
        <v>153</v>
      </c>
      <c r="F45" s="13" t="s">
        <v>74</v>
      </c>
    </row>
    <row r="46" spans="2:6" ht="27.75" customHeight="1" x14ac:dyDescent="0.45">
      <c r="B46" s="4" t="s">
        <v>154</v>
      </c>
      <c r="C46" s="5" t="s">
        <v>155</v>
      </c>
      <c r="D46" s="6" t="s">
        <v>49</v>
      </c>
      <c r="E46" s="7" t="s">
        <v>156</v>
      </c>
      <c r="F46" s="13" t="s">
        <v>74</v>
      </c>
    </row>
    <row r="47" spans="2:6" ht="27.75" customHeight="1" x14ac:dyDescent="0.45">
      <c r="B47" s="9" t="s">
        <v>157</v>
      </c>
      <c r="C47" s="10" t="s">
        <v>158</v>
      </c>
      <c r="D47" s="11" t="s">
        <v>159</v>
      </c>
      <c r="E47" s="12" t="s">
        <v>160</v>
      </c>
      <c r="F47" s="8" t="s">
        <v>46</v>
      </c>
    </row>
    <row r="48" spans="2:6" ht="27.75" customHeight="1" x14ac:dyDescent="0.45">
      <c r="B48" s="4" t="s">
        <v>161</v>
      </c>
      <c r="C48" s="5" t="s">
        <v>162</v>
      </c>
      <c r="D48" s="6" t="s">
        <v>49</v>
      </c>
      <c r="E48" s="7" t="s">
        <v>163</v>
      </c>
      <c r="F48" s="8" t="s">
        <v>46</v>
      </c>
    </row>
    <row r="49" spans="2:6" ht="27.75" customHeight="1" x14ac:dyDescent="0.45">
      <c r="B49" s="9" t="s">
        <v>164</v>
      </c>
      <c r="C49" s="10" t="s">
        <v>165</v>
      </c>
      <c r="D49" s="11" t="s">
        <v>166</v>
      </c>
      <c r="E49" s="12" t="s">
        <v>167</v>
      </c>
      <c r="F49" s="13" t="s">
        <v>74</v>
      </c>
    </row>
    <row r="50" spans="2:6" ht="27.75" customHeight="1" x14ac:dyDescent="0.45">
      <c r="B50" s="4" t="s">
        <v>168</v>
      </c>
      <c r="C50" s="5" t="s">
        <v>169</v>
      </c>
      <c r="D50" s="6" t="s">
        <v>170</v>
      </c>
      <c r="E50" s="7" t="s">
        <v>171</v>
      </c>
      <c r="F50" s="8" t="s">
        <v>46</v>
      </c>
    </row>
    <row r="51" spans="2:6" ht="27.75" customHeight="1" x14ac:dyDescent="0.45">
      <c r="B51" s="9" t="s">
        <v>172</v>
      </c>
      <c r="C51" s="10" t="s">
        <v>173</v>
      </c>
      <c r="D51" s="11" t="s">
        <v>174</v>
      </c>
      <c r="E51" s="12" t="s">
        <v>175</v>
      </c>
      <c r="F51" s="13" t="s">
        <v>74</v>
      </c>
    </row>
    <row r="53" spans="2:6" ht="19.5" customHeight="1" x14ac:dyDescent="0.45">
      <c r="B53" s="145" t="s">
        <v>176</v>
      </c>
      <c r="C53" s="138"/>
      <c r="D53" s="138"/>
      <c r="E53" s="138"/>
      <c r="F53" s="138"/>
    </row>
    <row r="54" spans="2:6" ht="27.75" customHeight="1" x14ac:dyDescent="0.45">
      <c r="B54" s="4" t="s">
        <v>177</v>
      </c>
      <c r="C54" s="120">
        <v>2.5999999999999999E-2</v>
      </c>
      <c r="D54" s="6" t="s">
        <v>178</v>
      </c>
      <c r="E54" s="7" t="s">
        <v>179</v>
      </c>
      <c r="F54" s="8" t="s">
        <v>46</v>
      </c>
    </row>
    <row r="55" spans="2:6" ht="27.75" customHeight="1" x14ac:dyDescent="0.45">
      <c r="B55" s="9" t="s">
        <v>180</v>
      </c>
      <c r="C55" s="118">
        <v>5.5E-2</v>
      </c>
      <c r="D55" s="11" t="s">
        <v>181</v>
      </c>
      <c r="E55" s="12" t="s">
        <v>182</v>
      </c>
      <c r="F55" s="8" t="s">
        <v>46</v>
      </c>
    </row>
    <row r="56" spans="2:6" ht="27.75" customHeight="1" x14ac:dyDescent="0.45">
      <c r="B56" s="4" t="s">
        <v>183</v>
      </c>
      <c r="C56" s="123">
        <v>0.9</v>
      </c>
      <c r="D56" s="6" t="s">
        <v>184</v>
      </c>
      <c r="E56" s="7" t="s">
        <v>185</v>
      </c>
      <c r="F56" s="13" t="s">
        <v>74</v>
      </c>
    </row>
    <row r="57" spans="2:6" ht="27.75" customHeight="1" x14ac:dyDescent="0.45">
      <c r="B57" s="9" t="s">
        <v>186</v>
      </c>
      <c r="C57" s="118">
        <v>7.5499999999999998E-2</v>
      </c>
      <c r="D57" s="11" t="s">
        <v>49</v>
      </c>
      <c r="E57" s="12" t="s">
        <v>187</v>
      </c>
      <c r="F57" s="13" t="s">
        <v>74</v>
      </c>
    </row>
    <row r="58" spans="2:6" ht="27.75" customHeight="1" x14ac:dyDescent="0.45">
      <c r="B58" s="4" t="s">
        <v>188</v>
      </c>
      <c r="C58" s="120">
        <v>0.05</v>
      </c>
      <c r="D58" s="6" t="s">
        <v>189</v>
      </c>
      <c r="E58" s="7" t="s">
        <v>190</v>
      </c>
      <c r="F58" s="13" t="s">
        <v>74</v>
      </c>
    </row>
    <row r="59" spans="2:6" ht="27.75" customHeight="1" x14ac:dyDescent="0.45">
      <c r="B59" s="9" t="s">
        <v>191</v>
      </c>
      <c r="C59" s="118">
        <v>0.28999999999999998</v>
      </c>
      <c r="D59" s="11" t="s">
        <v>192</v>
      </c>
      <c r="E59" s="12" t="s">
        <v>193</v>
      </c>
      <c r="F59" s="8" t="s">
        <v>46</v>
      </c>
    </row>
    <row r="60" spans="2:6" ht="27.75" customHeight="1" x14ac:dyDescent="0.45">
      <c r="B60" s="4" t="s">
        <v>194</v>
      </c>
      <c r="C60" s="120">
        <v>3.5499999999999997E-2</v>
      </c>
      <c r="D60" s="6" t="s">
        <v>49</v>
      </c>
      <c r="E60" s="7" t="s">
        <v>195</v>
      </c>
      <c r="F60" s="13" t="s">
        <v>74</v>
      </c>
    </row>
    <row r="61" spans="2:6" ht="27.75" customHeight="1" x14ac:dyDescent="0.45">
      <c r="B61" s="9" t="s">
        <v>196</v>
      </c>
      <c r="C61" s="118">
        <v>0.94</v>
      </c>
      <c r="D61" s="11" t="s">
        <v>49</v>
      </c>
      <c r="E61" s="12" t="s">
        <v>197</v>
      </c>
      <c r="F61" s="13" t="s">
        <v>74</v>
      </c>
    </row>
    <row r="62" spans="2:6" ht="27.75" customHeight="1" x14ac:dyDescent="0.45">
      <c r="B62" s="4" t="s">
        <v>198</v>
      </c>
      <c r="C62" s="120">
        <v>0.06</v>
      </c>
      <c r="D62" s="6" t="s">
        <v>49</v>
      </c>
      <c r="E62" s="7" t="s">
        <v>199</v>
      </c>
      <c r="F62" s="13" t="s">
        <v>74</v>
      </c>
    </row>
    <row r="63" spans="2:6" ht="27.75" customHeight="1" x14ac:dyDescent="0.45">
      <c r="B63" s="9" t="s">
        <v>200</v>
      </c>
      <c r="C63" s="118">
        <v>6.4000000000000001E-2</v>
      </c>
      <c r="D63" s="11" t="s">
        <v>201</v>
      </c>
      <c r="E63" s="12" t="s">
        <v>202</v>
      </c>
      <c r="F63" s="13" t="s">
        <v>74</v>
      </c>
    </row>
    <row r="65" spans="2:6" ht="19.5" customHeight="1" x14ac:dyDescent="0.45">
      <c r="B65" s="145" t="s">
        <v>203</v>
      </c>
      <c r="C65" s="138"/>
      <c r="D65" s="138"/>
      <c r="E65" s="138"/>
      <c r="F65" s="138"/>
    </row>
    <row r="66" spans="2:6" ht="27.75" customHeight="1" x14ac:dyDescent="0.45">
      <c r="B66" s="4" t="s">
        <v>204</v>
      </c>
      <c r="C66" s="5" t="s">
        <v>205</v>
      </c>
      <c r="D66" s="6" t="s">
        <v>206</v>
      </c>
      <c r="E66" s="7" t="s">
        <v>207</v>
      </c>
      <c r="F66" s="8" t="s">
        <v>46</v>
      </c>
    </row>
    <row r="67" spans="2:6" ht="27.75" customHeight="1" x14ac:dyDescent="0.45">
      <c r="B67" s="9" t="s">
        <v>208</v>
      </c>
      <c r="C67" s="10" t="s">
        <v>209</v>
      </c>
      <c r="D67" s="11" t="s">
        <v>49</v>
      </c>
      <c r="E67" s="12" t="s">
        <v>210</v>
      </c>
      <c r="F67" s="8" t="s">
        <v>46</v>
      </c>
    </row>
    <row r="68" spans="2:6" ht="27.75" customHeight="1" x14ac:dyDescent="0.45">
      <c r="B68" s="4" t="s">
        <v>211</v>
      </c>
      <c r="C68" s="5" t="s">
        <v>212</v>
      </c>
      <c r="D68" s="6" t="s">
        <v>49</v>
      </c>
      <c r="E68" s="7" t="s">
        <v>213</v>
      </c>
      <c r="F68" s="8" t="s">
        <v>46</v>
      </c>
    </row>
    <row r="69" spans="2:6" ht="27.75" customHeight="1" x14ac:dyDescent="0.45">
      <c r="B69" s="9" t="s">
        <v>214</v>
      </c>
      <c r="C69" s="10" t="s">
        <v>215</v>
      </c>
      <c r="D69" s="11" t="s">
        <v>49</v>
      </c>
      <c r="E69" s="12" t="s">
        <v>216</v>
      </c>
      <c r="F69" s="8" t="s">
        <v>46</v>
      </c>
    </row>
    <row r="70" spans="2:6" ht="27.75" customHeight="1" x14ac:dyDescent="0.45">
      <c r="B70" s="4" t="s">
        <v>217</v>
      </c>
      <c r="C70" s="5" t="s">
        <v>218</v>
      </c>
      <c r="D70" s="6" t="s">
        <v>49</v>
      </c>
      <c r="E70" s="7" t="s">
        <v>219</v>
      </c>
      <c r="F70" s="8" t="s">
        <v>46</v>
      </c>
    </row>
  </sheetData>
  <mergeCells count="7">
    <mergeCell ref="B4:F4"/>
    <mergeCell ref="B53:F53"/>
    <mergeCell ref="B65:F65"/>
    <mergeCell ref="B37:F37"/>
    <mergeCell ref="B1:F1"/>
    <mergeCell ref="B14:F14"/>
    <mergeCell ref="B26:F26"/>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86AB"/>
  </sheetPr>
  <dimension ref="B1:G41"/>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640625" defaultRowHeight="14.25" x14ac:dyDescent="0.45"/>
  <cols>
    <col min="1" max="1" width="3" customWidth="1"/>
    <col min="2" max="2" width="44" customWidth="1"/>
    <col min="3" max="6" width="14" customWidth="1"/>
    <col min="7" max="7" width="3" customWidth="1"/>
  </cols>
  <sheetData>
    <row r="1" spans="2:7" ht="25.5" customHeight="1" x14ac:dyDescent="0.45">
      <c r="B1" s="147" t="s">
        <v>220</v>
      </c>
      <c r="C1" s="138"/>
      <c r="D1" s="138"/>
      <c r="E1" s="138"/>
      <c r="F1" s="138"/>
    </row>
    <row r="2" spans="2:7" ht="30" customHeight="1" x14ac:dyDescent="0.45">
      <c r="B2" s="149" t="s">
        <v>221</v>
      </c>
      <c r="C2" s="138"/>
      <c r="D2" s="138"/>
      <c r="E2" s="138"/>
      <c r="F2" s="138"/>
    </row>
    <row r="4" spans="2:7" ht="21.75" customHeight="1" x14ac:dyDescent="0.45">
      <c r="B4" s="3"/>
      <c r="C4" s="3" t="s">
        <v>222</v>
      </c>
      <c r="D4" s="3" t="s">
        <v>223</v>
      </c>
      <c r="E4" s="3" t="s">
        <v>224</v>
      </c>
      <c r="F4" s="3" t="s">
        <v>225</v>
      </c>
    </row>
    <row r="5" spans="2:7" ht="19.5" customHeight="1" x14ac:dyDescent="0.45">
      <c r="B5" s="145" t="s">
        <v>226</v>
      </c>
      <c r="C5" s="138"/>
      <c r="D5" s="138"/>
      <c r="E5" s="138"/>
      <c r="F5" s="138"/>
      <c r="G5" s="138"/>
    </row>
    <row r="6" spans="2:7" ht="18" customHeight="1" x14ac:dyDescent="0.45">
      <c r="B6" s="14" t="s">
        <v>227</v>
      </c>
      <c r="C6" s="15">
        <v>714</v>
      </c>
      <c r="D6" s="15">
        <v>925.5</v>
      </c>
      <c r="E6" s="15">
        <v>1140.5</v>
      </c>
      <c r="F6" s="15">
        <v>1366.2</v>
      </c>
    </row>
    <row r="7" spans="2:7" ht="18" customHeight="1" x14ac:dyDescent="0.45">
      <c r="B7" s="16" t="s">
        <v>228</v>
      </c>
      <c r="C7" s="17" t="s">
        <v>229</v>
      </c>
      <c r="D7" s="18">
        <f>(D6-C6)/C6</f>
        <v>0.29621848739495799</v>
      </c>
      <c r="E7" s="18">
        <f>(E6-D6)/D6</f>
        <v>0.23230686115613183</v>
      </c>
      <c r="F7" s="18">
        <f>(F6-E6)/F6</f>
        <v>0.16520275215927394</v>
      </c>
    </row>
    <row r="8" spans="2:7" ht="18" customHeight="1" x14ac:dyDescent="0.45">
      <c r="B8" s="19" t="s">
        <v>230</v>
      </c>
      <c r="C8" s="20">
        <v>114</v>
      </c>
      <c r="D8" s="20">
        <v>150</v>
      </c>
      <c r="E8" s="20">
        <v>189.2</v>
      </c>
      <c r="F8" s="20">
        <v>230.4</v>
      </c>
    </row>
    <row r="9" spans="2:7" ht="18" customHeight="1" x14ac:dyDescent="0.45">
      <c r="B9" s="21" t="s">
        <v>231</v>
      </c>
      <c r="C9" s="22">
        <f>C8/C6</f>
        <v>0.15966386554621848</v>
      </c>
      <c r="D9" s="22">
        <f>D8/D6</f>
        <v>0.16207455429497569</v>
      </c>
      <c r="E9" s="22">
        <f>E8/E6</f>
        <v>0.16589215256466461</v>
      </c>
      <c r="F9" s="22">
        <f>F8/F6</f>
        <v>0.16864295125164691</v>
      </c>
    </row>
    <row r="10" spans="2:7" ht="18" customHeight="1" x14ac:dyDescent="0.45">
      <c r="B10" s="16" t="s">
        <v>232</v>
      </c>
      <c r="C10" s="23">
        <f>C6*0.027</f>
        <v>19.277999999999999</v>
      </c>
      <c r="D10" s="23">
        <f>D6*0.027</f>
        <v>24.988499999999998</v>
      </c>
      <c r="E10" s="23">
        <f>E6*0.027</f>
        <v>30.793499999999998</v>
      </c>
      <c r="F10" s="23">
        <f>F6*0.027</f>
        <v>36.8874</v>
      </c>
    </row>
    <row r="11" spans="2:7" ht="18" customHeight="1" x14ac:dyDescent="0.45">
      <c r="B11" s="14" t="s">
        <v>233</v>
      </c>
      <c r="C11" s="15">
        <f>C8+C10</f>
        <v>133.27799999999999</v>
      </c>
      <c r="D11" s="15">
        <f>D8+D10</f>
        <v>174.98849999999999</v>
      </c>
      <c r="E11" s="15">
        <f>E8+E10</f>
        <v>219.99349999999998</v>
      </c>
      <c r="F11" s="15">
        <f>F8+F10</f>
        <v>267.28739999999999</v>
      </c>
    </row>
    <row r="12" spans="2:7" ht="18" customHeight="1" x14ac:dyDescent="0.45">
      <c r="B12" s="16" t="s">
        <v>234</v>
      </c>
      <c r="C12" s="18">
        <f>C11/C6</f>
        <v>0.18666386554621847</v>
      </c>
      <c r="D12" s="18">
        <f>D11/D6</f>
        <v>0.18907455429497569</v>
      </c>
      <c r="E12" s="18">
        <f>E11/E6</f>
        <v>0.1928921525646646</v>
      </c>
      <c r="F12" s="18">
        <f>F11/F6</f>
        <v>0.19564295125164688</v>
      </c>
    </row>
    <row r="13" spans="2:7" ht="18" customHeight="1" x14ac:dyDescent="0.45">
      <c r="B13" s="16" t="s">
        <v>235</v>
      </c>
      <c r="C13" s="24" t="s">
        <v>49</v>
      </c>
      <c r="D13" s="24" t="s">
        <v>49</v>
      </c>
      <c r="E13" s="24">
        <v>116</v>
      </c>
      <c r="F13" s="24">
        <v>169.4</v>
      </c>
    </row>
    <row r="14" spans="2:7" ht="18" customHeight="1" x14ac:dyDescent="0.45">
      <c r="B14" s="25" t="s">
        <v>236</v>
      </c>
      <c r="C14" s="26" t="s">
        <v>49</v>
      </c>
      <c r="D14" s="26" t="s">
        <v>49</v>
      </c>
      <c r="E14" s="27">
        <f>(E8-E13)</f>
        <v>73.199999999999989</v>
      </c>
      <c r="F14" s="27">
        <f>(F8-F13)</f>
        <v>61</v>
      </c>
    </row>
    <row r="15" spans="2:7" ht="18" customHeight="1" x14ac:dyDescent="0.45">
      <c r="B15" s="16" t="s">
        <v>237</v>
      </c>
      <c r="C15" s="24" t="s">
        <v>49</v>
      </c>
      <c r="D15" s="24" t="s">
        <v>238</v>
      </c>
      <c r="E15" s="24" t="s">
        <v>239</v>
      </c>
      <c r="F15" s="24" t="s">
        <v>240</v>
      </c>
    </row>
    <row r="17" spans="2:7" ht="19.5" customHeight="1" x14ac:dyDescent="0.45">
      <c r="B17" s="145" t="s">
        <v>241</v>
      </c>
      <c r="C17" s="138"/>
      <c r="D17" s="138"/>
      <c r="E17" s="138"/>
      <c r="F17" s="138"/>
      <c r="G17" s="138"/>
    </row>
    <row r="18" spans="2:7" ht="18" customHeight="1" x14ac:dyDescent="0.45">
      <c r="B18" s="14" t="s">
        <v>242</v>
      </c>
      <c r="C18" s="15" t="s">
        <v>229</v>
      </c>
      <c r="D18" s="15">
        <v>1276.5</v>
      </c>
      <c r="E18" s="15">
        <v>1441.9</v>
      </c>
      <c r="F18" s="15">
        <v>1571.2</v>
      </c>
    </row>
    <row r="19" spans="2:7" ht="18" customHeight="1" x14ac:dyDescent="0.45">
      <c r="B19" s="16" t="s">
        <v>227</v>
      </c>
      <c r="C19" s="24">
        <v>714</v>
      </c>
      <c r="D19" s="24">
        <v>925.5</v>
      </c>
      <c r="E19" s="24">
        <v>1140.5</v>
      </c>
      <c r="F19" s="24">
        <v>1366.2</v>
      </c>
    </row>
    <row r="20" spans="2:7" ht="18" customHeight="1" x14ac:dyDescent="0.45">
      <c r="B20" s="21" t="s">
        <v>243</v>
      </c>
      <c r="C20" s="28" t="s">
        <v>229</v>
      </c>
      <c r="D20" s="28">
        <f>D18/D19</f>
        <v>1.3792544570502432</v>
      </c>
      <c r="E20" s="28">
        <f>E18/E19</f>
        <v>1.2642700569925471</v>
      </c>
      <c r="F20" s="28">
        <f>F18/F19</f>
        <v>1.1500512370077587</v>
      </c>
    </row>
    <row r="21" spans="2:7" ht="18" customHeight="1" x14ac:dyDescent="0.45">
      <c r="B21" s="19" t="s">
        <v>244</v>
      </c>
      <c r="C21" s="20" t="s">
        <v>229</v>
      </c>
      <c r="D21" s="20">
        <v>1780</v>
      </c>
      <c r="E21" s="20">
        <v>2079.6999999999998</v>
      </c>
      <c r="F21" s="20">
        <v>2259.9</v>
      </c>
    </row>
    <row r="22" spans="2:7" ht="18" customHeight="1" x14ac:dyDescent="0.45">
      <c r="B22" s="14" t="s">
        <v>245</v>
      </c>
      <c r="C22" s="15" t="s">
        <v>229</v>
      </c>
      <c r="D22" s="15">
        <v>4643.6000000000004</v>
      </c>
      <c r="E22" s="15">
        <v>4960.1000000000004</v>
      </c>
      <c r="F22" s="15">
        <v>6676</v>
      </c>
    </row>
    <row r="23" spans="2:7" ht="18" customHeight="1" x14ac:dyDescent="0.45">
      <c r="B23" s="16" t="s">
        <v>246</v>
      </c>
      <c r="C23" s="29" t="s">
        <v>229</v>
      </c>
      <c r="D23" s="30">
        <f>D21/D19*12</f>
        <v>23.079416531604537</v>
      </c>
      <c r="E23" s="30">
        <f>E21/E19*12</f>
        <v>21.881981587023233</v>
      </c>
      <c r="F23" s="30">
        <f>F21/F19*12</f>
        <v>19.8498023715415</v>
      </c>
    </row>
    <row r="24" spans="2:7" ht="18" customHeight="1" x14ac:dyDescent="0.45">
      <c r="B24" s="25" t="s">
        <v>247</v>
      </c>
      <c r="C24" s="31" t="s">
        <v>229</v>
      </c>
      <c r="D24" s="32">
        <f>D22/D19*12</f>
        <v>60.208752025931936</v>
      </c>
      <c r="E24" s="32">
        <f>E22/E19*12</f>
        <v>52.188689171416044</v>
      </c>
      <c r="F24" s="32">
        <f>F22/F19*12</f>
        <v>58.638559508124729</v>
      </c>
    </row>
    <row r="26" spans="2:7" ht="19.5" customHeight="1" x14ac:dyDescent="0.45">
      <c r="B26" s="145" t="s">
        <v>248</v>
      </c>
      <c r="C26" s="138"/>
      <c r="D26" s="138"/>
      <c r="E26" s="138"/>
      <c r="F26" s="138"/>
      <c r="G26" s="138"/>
    </row>
    <row r="27" spans="2:7" ht="18" customHeight="1" x14ac:dyDescent="0.45">
      <c r="B27" s="14" t="s">
        <v>249</v>
      </c>
      <c r="C27" s="15" t="s">
        <v>250</v>
      </c>
      <c r="D27" s="15" t="s">
        <v>251</v>
      </c>
      <c r="E27" s="15" t="s">
        <v>252</v>
      </c>
      <c r="F27" s="15" t="s">
        <v>91</v>
      </c>
    </row>
    <row r="28" spans="2:7" ht="18" customHeight="1" x14ac:dyDescent="0.45">
      <c r="B28" s="16" t="s">
        <v>253</v>
      </c>
      <c r="C28" s="23">
        <f>C6*0.03</f>
        <v>21.419999999999998</v>
      </c>
      <c r="D28" s="23">
        <f>D6*0.03</f>
        <v>27.765000000000001</v>
      </c>
      <c r="E28" s="23">
        <f>E6*0.027</f>
        <v>30.793499999999998</v>
      </c>
      <c r="F28" s="23">
        <f>F6*0.028</f>
        <v>38.253599999999999</v>
      </c>
    </row>
    <row r="29" spans="2:7" ht="18" customHeight="1" x14ac:dyDescent="0.45">
      <c r="B29" s="25" t="s">
        <v>254</v>
      </c>
      <c r="C29" s="33">
        <f>C28/C6</f>
        <v>0.03</v>
      </c>
      <c r="D29" s="33">
        <f>D28/D6</f>
        <v>0.03</v>
      </c>
      <c r="E29" s="33">
        <f>E28/E6</f>
        <v>2.7E-2</v>
      </c>
      <c r="F29" s="33">
        <f>F28/F6</f>
        <v>2.7999999999999997E-2</v>
      </c>
    </row>
    <row r="30" spans="2:7" ht="18" customHeight="1" x14ac:dyDescent="0.45">
      <c r="B30" s="16" t="s">
        <v>255</v>
      </c>
      <c r="C30" s="24" t="s">
        <v>49</v>
      </c>
      <c r="D30" s="24" t="s">
        <v>256</v>
      </c>
      <c r="E30" s="24" t="s">
        <v>257</v>
      </c>
      <c r="F30" s="24" t="s">
        <v>55</v>
      </c>
    </row>
    <row r="31" spans="2:7" ht="18" customHeight="1" x14ac:dyDescent="0.45">
      <c r="B31" s="25" t="s">
        <v>258</v>
      </c>
      <c r="C31" s="34" t="s">
        <v>49</v>
      </c>
      <c r="D31" s="34">
        <v>2.4</v>
      </c>
      <c r="E31" s="34">
        <v>1.7</v>
      </c>
      <c r="F31" s="34">
        <v>1.5</v>
      </c>
    </row>
    <row r="32" spans="2:7" ht="18" customHeight="1" x14ac:dyDescent="0.45">
      <c r="B32" s="16" t="s">
        <v>259</v>
      </c>
      <c r="C32" s="35" t="s">
        <v>49</v>
      </c>
      <c r="D32" s="35" t="s">
        <v>49</v>
      </c>
      <c r="E32" s="124">
        <v>0.42</v>
      </c>
      <c r="F32" s="124">
        <v>0.57999999999999996</v>
      </c>
    </row>
    <row r="34" spans="2:7" ht="19.5" customHeight="1" x14ac:dyDescent="0.45">
      <c r="B34" s="145" t="s">
        <v>260</v>
      </c>
      <c r="C34" s="138"/>
      <c r="D34" s="138"/>
      <c r="E34" s="138"/>
      <c r="F34" s="138"/>
      <c r="G34" s="138"/>
    </row>
    <row r="35" spans="2:7" ht="18" customHeight="1" x14ac:dyDescent="0.45">
      <c r="B35" s="14" t="s">
        <v>261</v>
      </c>
      <c r="C35" s="36" t="s">
        <v>49</v>
      </c>
      <c r="D35" s="36" t="s">
        <v>49</v>
      </c>
      <c r="E35" s="36">
        <v>0.19700000000000001</v>
      </c>
      <c r="F35" s="36">
        <v>0.23499999999999999</v>
      </c>
    </row>
    <row r="36" spans="2:7" ht="18" customHeight="1" x14ac:dyDescent="0.45">
      <c r="B36" s="16" t="s">
        <v>262</v>
      </c>
      <c r="C36" s="17" t="s">
        <v>49</v>
      </c>
      <c r="D36" s="17" t="s">
        <v>49</v>
      </c>
      <c r="E36" s="17" t="s">
        <v>49</v>
      </c>
      <c r="F36" s="18">
        <f>(F8/C8)^(1/3)-1</f>
        <v>0.2643264040939548</v>
      </c>
    </row>
    <row r="37" spans="2:7" ht="18" customHeight="1" x14ac:dyDescent="0.45">
      <c r="B37" s="25" t="s">
        <v>263</v>
      </c>
      <c r="C37" s="37" t="s">
        <v>49</v>
      </c>
      <c r="D37" s="37" t="s">
        <v>49</v>
      </c>
      <c r="E37" s="37" t="s">
        <v>49</v>
      </c>
      <c r="F37" s="33">
        <f>(F6/C6)^(1/3)-1</f>
        <v>0.24147703331489478</v>
      </c>
    </row>
    <row r="38" spans="2:7" ht="18" customHeight="1" x14ac:dyDescent="0.45">
      <c r="B38" s="16" t="s">
        <v>264</v>
      </c>
      <c r="C38" s="17" t="s">
        <v>49</v>
      </c>
      <c r="D38" s="17" t="s">
        <v>49</v>
      </c>
      <c r="E38" s="17" t="s">
        <v>49</v>
      </c>
      <c r="F38" s="17">
        <v>0.63800000000000001</v>
      </c>
    </row>
    <row r="39" spans="2:7" ht="18" customHeight="1" x14ac:dyDescent="0.45">
      <c r="B39" s="25" t="s">
        <v>265</v>
      </c>
      <c r="C39" s="37" t="s">
        <v>49</v>
      </c>
      <c r="D39" s="37" t="s">
        <v>49</v>
      </c>
      <c r="E39" s="37" t="s">
        <v>49</v>
      </c>
      <c r="F39" s="37">
        <v>0.20399999999999999</v>
      </c>
    </row>
    <row r="41" spans="2:7" ht="39.75" customHeight="1" x14ac:dyDescent="0.45">
      <c r="B41" s="148" t="s">
        <v>266</v>
      </c>
      <c r="C41" s="138"/>
      <c r="D41" s="138"/>
      <c r="E41" s="138"/>
      <c r="F41" s="138"/>
    </row>
  </sheetData>
  <mergeCells count="7">
    <mergeCell ref="B1:F1"/>
    <mergeCell ref="B41:F41"/>
    <mergeCell ref="B34:G34"/>
    <mergeCell ref="B2:F2"/>
    <mergeCell ref="B5:G5"/>
    <mergeCell ref="B17:G17"/>
    <mergeCell ref="B26:G26"/>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7E22"/>
  </sheetPr>
  <dimension ref="B1:G15"/>
  <sheetViews>
    <sheetView showGridLines="0" zoomScaleNormal="100" workbookViewId="0">
      <pane xSplit="2" ySplit="4" topLeftCell="C5" activePane="bottomRight" state="frozen"/>
      <selection pane="topRight" activeCell="C1" sqref="C1"/>
      <selection pane="bottomLeft" activeCell="A5" sqref="A5"/>
      <selection pane="bottomRight" activeCell="F21" sqref="F21"/>
    </sheetView>
  </sheetViews>
  <sheetFormatPr defaultColWidth="8.6640625" defaultRowHeight="14.25" x14ac:dyDescent="0.45"/>
  <cols>
    <col min="1" max="1" width="3" customWidth="1"/>
    <col min="2" max="2" width="36" customWidth="1"/>
    <col min="3" max="5" width="16" customWidth="1"/>
    <col min="6" max="6" width="14" customWidth="1"/>
    <col min="7" max="7" width="20" customWidth="1"/>
    <col min="8" max="8" width="3" customWidth="1"/>
  </cols>
  <sheetData>
    <row r="1" spans="2:7" ht="25.5" customHeight="1" x14ac:dyDescent="0.45">
      <c r="B1" s="147" t="s">
        <v>267</v>
      </c>
      <c r="C1" s="138"/>
      <c r="D1" s="138"/>
      <c r="E1" s="138"/>
      <c r="F1" s="138"/>
      <c r="G1" s="138"/>
    </row>
    <row r="4" spans="2:7" ht="27.75" customHeight="1" x14ac:dyDescent="0.45">
      <c r="B4" s="38" t="s">
        <v>268</v>
      </c>
      <c r="C4" s="38" t="s">
        <v>269</v>
      </c>
      <c r="D4" s="38" t="s">
        <v>270</v>
      </c>
      <c r="E4" s="38" t="s">
        <v>271</v>
      </c>
      <c r="F4" s="38" t="s">
        <v>272</v>
      </c>
      <c r="G4" s="38" t="s">
        <v>273</v>
      </c>
    </row>
    <row r="5" spans="2:7" ht="21.75" customHeight="1" x14ac:dyDescent="0.45">
      <c r="B5" s="39" t="s">
        <v>274</v>
      </c>
      <c r="C5" s="40">
        <v>720</v>
      </c>
      <c r="D5" s="40">
        <v>714</v>
      </c>
      <c r="E5" s="40">
        <v>1500</v>
      </c>
      <c r="F5" s="41">
        <v>1.00840336134454</v>
      </c>
      <c r="G5" s="42">
        <v>25.210084033613501</v>
      </c>
    </row>
    <row r="6" spans="2:7" ht="21.75" customHeight="1" x14ac:dyDescent="0.45">
      <c r="B6" s="43" t="s">
        <v>223</v>
      </c>
      <c r="C6" s="26">
        <v>1276.5</v>
      </c>
      <c r="D6" s="26">
        <v>925.5</v>
      </c>
      <c r="E6" s="26">
        <v>1780</v>
      </c>
      <c r="F6" s="41">
        <v>1.3792544570502401</v>
      </c>
      <c r="G6" s="44">
        <v>23.079416531604501</v>
      </c>
    </row>
    <row r="7" spans="2:7" ht="21.75" customHeight="1" x14ac:dyDescent="0.45">
      <c r="B7" s="45" t="s">
        <v>224</v>
      </c>
      <c r="C7" s="24">
        <v>1441.9</v>
      </c>
      <c r="D7" s="24">
        <v>1140.5</v>
      </c>
      <c r="E7" s="24">
        <v>2079.6999999999998</v>
      </c>
      <c r="F7" s="41">
        <v>1.26427005699255</v>
      </c>
      <c r="G7" s="46">
        <v>21.881981587023201</v>
      </c>
    </row>
    <row r="8" spans="2:7" ht="21.75" customHeight="1" x14ac:dyDescent="0.45">
      <c r="B8" s="43" t="s">
        <v>225</v>
      </c>
      <c r="C8" s="26">
        <v>1571.2</v>
      </c>
      <c r="D8" s="26">
        <v>1366.2</v>
      </c>
      <c r="E8" s="26">
        <v>2259.9</v>
      </c>
      <c r="F8" s="41">
        <v>1.15005123700776</v>
      </c>
      <c r="G8" s="44">
        <v>19.8498023715415</v>
      </c>
    </row>
    <row r="9" spans="2:7" ht="21.75" customHeight="1" x14ac:dyDescent="0.45">
      <c r="B9" s="47" t="s">
        <v>275</v>
      </c>
      <c r="C9" s="48">
        <v>582.29999999999995</v>
      </c>
      <c r="D9" s="48">
        <v>283.60000000000002</v>
      </c>
      <c r="E9" s="48">
        <v>2576</v>
      </c>
      <c r="F9" s="41">
        <v>2.05324400564175</v>
      </c>
      <c r="G9" s="49">
        <v>108.99858956276501</v>
      </c>
    </row>
    <row r="10" spans="2:7" ht="21.75" customHeight="1" x14ac:dyDescent="0.45">
      <c r="B10" s="39" t="s">
        <v>276</v>
      </c>
      <c r="C10" s="40" t="s">
        <v>277</v>
      </c>
      <c r="D10" s="40" t="s">
        <v>278</v>
      </c>
      <c r="E10" s="40" t="s">
        <v>279</v>
      </c>
      <c r="F10" s="50" t="s">
        <v>280</v>
      </c>
      <c r="G10" s="51" t="s">
        <v>281</v>
      </c>
    </row>
    <row r="13" spans="2:7" ht="54" customHeight="1" x14ac:dyDescent="0.45">
      <c r="B13" s="151" t="s">
        <v>282</v>
      </c>
      <c r="C13" s="138"/>
      <c r="D13" s="138"/>
      <c r="E13" s="138"/>
      <c r="F13" s="138"/>
      <c r="G13" s="138"/>
    </row>
    <row r="15" spans="2:7" ht="66" customHeight="1" x14ac:dyDescent="0.45">
      <c r="B15" s="150" t="s">
        <v>283</v>
      </c>
      <c r="C15" s="138"/>
      <c r="D15" s="138"/>
      <c r="E15" s="138"/>
      <c r="F15" s="138"/>
      <c r="G15" s="138"/>
    </row>
  </sheetData>
  <mergeCells count="3">
    <mergeCell ref="B15:G15"/>
    <mergeCell ref="B13:G13"/>
    <mergeCell ref="B1:G1"/>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A3A5C"/>
  </sheetPr>
  <dimension ref="B1:D57"/>
  <sheetViews>
    <sheetView showGridLines="0" zoomScaleNormal="100" workbookViewId="0">
      <pane xSplit="1" ySplit="3" topLeftCell="B53" activePane="bottomRight" state="frozen"/>
      <selection pane="topRight" activeCell="B1" sqref="B1"/>
      <selection pane="bottomLeft" activeCell="A4" sqref="A4"/>
      <selection pane="bottomRight"/>
    </sheetView>
  </sheetViews>
  <sheetFormatPr defaultColWidth="8.6640625" defaultRowHeight="14.25" x14ac:dyDescent="0.45"/>
  <cols>
    <col min="1" max="1" width="3" customWidth="1"/>
    <col min="2" max="2" width="48.86328125" customWidth="1"/>
    <col min="3" max="3" width="84.796875" customWidth="1"/>
    <col min="4" max="4" width="33" customWidth="1"/>
    <col min="5" max="5" width="3" customWidth="1"/>
  </cols>
  <sheetData>
    <row r="1" spans="2:4" ht="25.5" customHeight="1" x14ac:dyDescent="0.45">
      <c r="B1" s="154" t="s">
        <v>284</v>
      </c>
      <c r="C1" s="138"/>
      <c r="D1" s="138"/>
    </row>
    <row r="2" spans="2:4" ht="36" customHeight="1" x14ac:dyDescent="0.45">
      <c r="B2" s="159" t="s">
        <v>285</v>
      </c>
      <c r="C2" s="138"/>
      <c r="D2" s="138"/>
    </row>
    <row r="3" spans="2:4" ht="19.5" customHeight="1" x14ac:dyDescent="0.45">
      <c r="B3" s="3" t="s">
        <v>286</v>
      </c>
      <c r="C3" s="3" t="s">
        <v>287</v>
      </c>
      <c r="D3" s="3" t="s">
        <v>288</v>
      </c>
    </row>
    <row r="4" spans="2:4" ht="24" customHeight="1" x14ac:dyDescent="0.45">
      <c r="B4" s="156" t="s">
        <v>289</v>
      </c>
      <c r="C4" s="138"/>
      <c r="D4" s="138"/>
    </row>
    <row r="5" spans="2:4" ht="45.75" customHeight="1" x14ac:dyDescent="0.45">
      <c r="B5" s="25" t="s">
        <v>290</v>
      </c>
      <c r="C5" s="125">
        <v>2020</v>
      </c>
      <c r="D5" s="7" t="s">
        <v>291</v>
      </c>
    </row>
    <row r="6" spans="2:4" ht="46.15" customHeight="1" x14ac:dyDescent="0.45">
      <c r="B6" s="16" t="s">
        <v>292</v>
      </c>
      <c r="C6" s="53" t="s">
        <v>293</v>
      </c>
      <c r="D6" s="12" t="s">
        <v>294</v>
      </c>
    </row>
    <row r="7" spans="2:4" ht="46.5" customHeight="1" x14ac:dyDescent="0.45">
      <c r="B7" s="14" t="s">
        <v>295</v>
      </c>
      <c r="C7" s="54" t="s">
        <v>131</v>
      </c>
      <c r="D7" s="7" t="s">
        <v>296</v>
      </c>
    </row>
    <row r="8" spans="2:4" ht="47.25" customHeight="1" x14ac:dyDescent="0.45">
      <c r="B8" s="16" t="s">
        <v>297</v>
      </c>
      <c r="C8" s="53" t="s">
        <v>135</v>
      </c>
      <c r="D8" s="12" t="s">
        <v>298</v>
      </c>
    </row>
    <row r="9" spans="2:4" ht="46.15" customHeight="1" x14ac:dyDescent="0.45">
      <c r="B9" s="25" t="s">
        <v>299</v>
      </c>
      <c r="C9" s="52" t="s">
        <v>300</v>
      </c>
      <c r="D9" s="7" t="s">
        <v>301</v>
      </c>
    </row>
    <row r="10" spans="2:4" ht="46.15" customHeight="1" x14ac:dyDescent="0.45">
      <c r="B10" s="16" t="s">
        <v>302</v>
      </c>
      <c r="C10" s="53" t="s">
        <v>303</v>
      </c>
      <c r="D10" s="12" t="s">
        <v>304</v>
      </c>
    </row>
    <row r="11" spans="2:4" ht="49.5" customHeight="1" x14ac:dyDescent="0.45">
      <c r="B11" s="25" t="s">
        <v>305</v>
      </c>
      <c r="C11" s="52" t="s">
        <v>306</v>
      </c>
      <c r="D11" s="7" t="s">
        <v>307</v>
      </c>
    </row>
    <row r="13" spans="2:4" ht="24" customHeight="1" x14ac:dyDescent="0.45">
      <c r="B13" s="157" t="s">
        <v>308</v>
      </c>
      <c r="C13" s="138"/>
      <c r="D13" s="138"/>
    </row>
    <row r="14" spans="2:4" ht="51" customHeight="1" x14ac:dyDescent="0.45">
      <c r="B14" s="14" t="s">
        <v>309</v>
      </c>
      <c r="C14" s="55" t="s">
        <v>310</v>
      </c>
      <c r="D14" s="7" t="s">
        <v>311</v>
      </c>
    </row>
    <row r="15" spans="2:4" ht="68.25" customHeight="1" x14ac:dyDescent="0.45">
      <c r="B15" s="16" t="s">
        <v>312</v>
      </c>
      <c r="C15" s="53" t="s">
        <v>313</v>
      </c>
      <c r="D15" s="12" t="s">
        <v>314</v>
      </c>
    </row>
    <row r="16" spans="2:4" ht="52.15" customHeight="1" x14ac:dyDescent="0.45">
      <c r="B16" s="25" t="s">
        <v>315</v>
      </c>
      <c r="C16" s="52" t="s">
        <v>316</v>
      </c>
      <c r="D16" s="7" t="s">
        <v>317</v>
      </c>
    </row>
    <row r="17" spans="2:4" ht="39.75" customHeight="1" x14ac:dyDescent="0.45">
      <c r="B17" s="16" t="s">
        <v>318</v>
      </c>
      <c r="C17" s="53" t="s">
        <v>319</v>
      </c>
      <c r="D17" s="12" t="s">
        <v>320</v>
      </c>
    </row>
    <row r="18" spans="2:4" ht="52.15" customHeight="1" x14ac:dyDescent="0.45">
      <c r="B18" s="14" t="s">
        <v>321</v>
      </c>
      <c r="C18" s="55" t="s">
        <v>322</v>
      </c>
      <c r="D18" s="7" t="s">
        <v>323</v>
      </c>
    </row>
    <row r="19" spans="2:4" ht="51" customHeight="1" x14ac:dyDescent="0.45">
      <c r="B19" s="16" t="s">
        <v>324</v>
      </c>
      <c r="C19" s="53" t="s">
        <v>325</v>
      </c>
      <c r="D19" s="12" t="s">
        <v>326</v>
      </c>
    </row>
    <row r="20" spans="2:4" ht="46.15" customHeight="1" x14ac:dyDescent="0.45">
      <c r="B20" s="25" t="s">
        <v>327</v>
      </c>
      <c r="C20" s="52" t="s">
        <v>328</v>
      </c>
      <c r="D20" s="7" t="s">
        <v>329</v>
      </c>
    </row>
    <row r="22" spans="2:4" ht="24" customHeight="1" x14ac:dyDescent="0.45">
      <c r="B22" s="155" t="s">
        <v>330</v>
      </c>
      <c r="C22" s="138"/>
      <c r="D22" s="138"/>
    </row>
    <row r="23" spans="2:4" ht="37.15" customHeight="1" x14ac:dyDescent="0.45">
      <c r="B23" s="56" t="s">
        <v>142</v>
      </c>
      <c r="C23" s="57" t="s">
        <v>143</v>
      </c>
      <c r="D23" s="58" t="s">
        <v>331</v>
      </c>
    </row>
    <row r="24" spans="2:4" ht="42.4" customHeight="1" x14ac:dyDescent="0.45">
      <c r="B24" s="19" t="s">
        <v>145</v>
      </c>
      <c r="C24" s="59" t="s">
        <v>332</v>
      </c>
      <c r="D24" s="12" t="s">
        <v>333</v>
      </c>
    </row>
    <row r="25" spans="2:4" ht="37.9" customHeight="1" x14ac:dyDescent="0.45">
      <c r="B25" s="60" t="s">
        <v>334</v>
      </c>
      <c r="C25" s="61" t="s">
        <v>335</v>
      </c>
      <c r="D25" s="58" t="s">
        <v>336</v>
      </c>
    </row>
    <row r="26" spans="2:4" ht="41.65" customHeight="1" x14ac:dyDescent="0.45">
      <c r="B26" s="16" t="s">
        <v>337</v>
      </c>
      <c r="C26" s="53" t="s">
        <v>48</v>
      </c>
      <c r="D26" s="12" t="s">
        <v>338</v>
      </c>
    </row>
    <row r="27" spans="2:4" ht="37.15" customHeight="1" x14ac:dyDescent="0.45">
      <c r="B27" s="60" t="s">
        <v>339</v>
      </c>
      <c r="C27" s="61" t="s">
        <v>340</v>
      </c>
      <c r="D27" s="58" t="s">
        <v>341</v>
      </c>
    </row>
    <row r="28" spans="2:4" ht="62.25" customHeight="1" x14ac:dyDescent="0.45">
      <c r="B28" s="16" t="s">
        <v>342</v>
      </c>
      <c r="C28" s="53" t="s">
        <v>343</v>
      </c>
      <c r="D28" s="12" t="s">
        <v>344</v>
      </c>
    </row>
    <row r="29" spans="2:4" ht="41.65" customHeight="1" x14ac:dyDescent="0.45">
      <c r="B29" s="56" t="s">
        <v>151</v>
      </c>
      <c r="C29" s="62" t="s">
        <v>152</v>
      </c>
      <c r="D29" s="58" t="s">
        <v>345</v>
      </c>
    </row>
    <row r="30" spans="2:4" ht="45.4" customHeight="1" x14ac:dyDescent="0.45">
      <c r="B30" s="16" t="s">
        <v>346</v>
      </c>
      <c r="C30" s="53" t="s">
        <v>155</v>
      </c>
      <c r="D30" s="12" t="s">
        <v>347</v>
      </c>
    </row>
    <row r="31" spans="2:4" ht="54.75" customHeight="1" x14ac:dyDescent="0.45">
      <c r="B31" s="60" t="s">
        <v>348</v>
      </c>
      <c r="C31" s="61" t="s">
        <v>349</v>
      </c>
      <c r="D31" s="58" t="s">
        <v>350</v>
      </c>
    </row>
    <row r="32" spans="2:4" ht="42.75" customHeight="1" x14ac:dyDescent="0.45">
      <c r="B32" s="16" t="s">
        <v>351</v>
      </c>
      <c r="C32" s="53" t="s">
        <v>352</v>
      </c>
      <c r="D32" s="12" t="s">
        <v>353</v>
      </c>
    </row>
    <row r="33" spans="2:4" ht="43.5" customHeight="1" x14ac:dyDescent="0.45">
      <c r="B33" s="60" t="s">
        <v>354</v>
      </c>
      <c r="C33" s="61" t="s">
        <v>162</v>
      </c>
      <c r="D33" s="58" t="s">
        <v>355</v>
      </c>
    </row>
    <row r="34" spans="2:4" ht="76.900000000000006" customHeight="1" x14ac:dyDescent="0.45">
      <c r="B34" s="16" t="s">
        <v>356</v>
      </c>
      <c r="C34" s="53" t="s">
        <v>357</v>
      </c>
      <c r="D34" s="12" t="s">
        <v>358</v>
      </c>
    </row>
    <row r="35" spans="2:4" ht="115.15" customHeight="1" x14ac:dyDescent="0.45">
      <c r="B35" s="56" t="s">
        <v>359</v>
      </c>
      <c r="C35" s="62" t="s">
        <v>360</v>
      </c>
      <c r="D35" s="58" t="s">
        <v>361</v>
      </c>
    </row>
    <row r="37" spans="2:4" ht="24" customHeight="1" x14ac:dyDescent="0.45">
      <c r="B37" s="152" t="s">
        <v>362</v>
      </c>
      <c r="C37" s="138"/>
      <c r="D37" s="138"/>
    </row>
    <row r="38" spans="2:4" ht="39.75" customHeight="1" x14ac:dyDescent="0.45">
      <c r="B38" s="63" t="s">
        <v>363</v>
      </c>
      <c r="C38" s="64" t="s">
        <v>364</v>
      </c>
      <c r="D38" s="65" t="s">
        <v>365</v>
      </c>
    </row>
    <row r="39" spans="2:4" ht="48" customHeight="1" x14ac:dyDescent="0.45">
      <c r="B39" s="19" t="s">
        <v>168</v>
      </c>
      <c r="C39" s="59" t="s">
        <v>169</v>
      </c>
      <c r="D39" s="12" t="s">
        <v>366</v>
      </c>
    </row>
    <row r="40" spans="2:4" ht="78.400000000000006" customHeight="1" x14ac:dyDescent="0.45">
      <c r="B40" s="63" t="s">
        <v>367</v>
      </c>
      <c r="C40" s="66" t="s">
        <v>368</v>
      </c>
      <c r="D40" s="65" t="s">
        <v>369</v>
      </c>
    </row>
    <row r="41" spans="2:4" ht="76.5" customHeight="1" x14ac:dyDescent="0.45">
      <c r="B41" s="16" t="s">
        <v>370</v>
      </c>
      <c r="C41" s="53" t="s">
        <v>371</v>
      </c>
      <c r="D41" s="12" t="s">
        <v>372</v>
      </c>
    </row>
    <row r="42" spans="2:4" ht="77.650000000000006" customHeight="1" x14ac:dyDescent="0.45">
      <c r="B42" s="67" t="s">
        <v>373</v>
      </c>
      <c r="C42" s="68" t="s">
        <v>374</v>
      </c>
      <c r="D42" s="65" t="s">
        <v>375</v>
      </c>
    </row>
    <row r="44" spans="2:4" ht="24" customHeight="1" x14ac:dyDescent="0.45">
      <c r="B44" s="158" t="s">
        <v>376</v>
      </c>
      <c r="C44" s="138"/>
      <c r="D44" s="138"/>
    </row>
    <row r="45" spans="2:4" ht="24" customHeight="1" x14ac:dyDescent="0.45">
      <c r="B45" s="60" t="s">
        <v>377</v>
      </c>
      <c r="C45" s="61" t="s">
        <v>378</v>
      </c>
      <c r="D45" s="58" t="s">
        <v>379</v>
      </c>
    </row>
    <row r="46" spans="2:4" ht="48" customHeight="1" x14ac:dyDescent="0.45">
      <c r="B46" s="16" t="s">
        <v>380</v>
      </c>
      <c r="C46" s="53" t="s">
        <v>381</v>
      </c>
      <c r="D46" s="12" t="s">
        <v>382</v>
      </c>
    </row>
    <row r="47" spans="2:4" ht="51.4" customHeight="1" x14ac:dyDescent="0.45">
      <c r="B47" s="60" t="s">
        <v>383</v>
      </c>
      <c r="C47" s="61" t="s">
        <v>384</v>
      </c>
      <c r="D47" s="58" t="s">
        <v>385</v>
      </c>
    </row>
    <row r="48" spans="2:4" ht="43.5" customHeight="1" x14ac:dyDescent="0.45">
      <c r="B48" s="16" t="s">
        <v>386</v>
      </c>
      <c r="C48" s="53" t="s">
        <v>76</v>
      </c>
      <c r="D48" s="12" t="s">
        <v>387</v>
      </c>
    </row>
    <row r="49" spans="2:4" ht="44.25" customHeight="1" x14ac:dyDescent="0.45">
      <c r="B49" s="60" t="s">
        <v>388</v>
      </c>
      <c r="C49" s="61" t="s">
        <v>389</v>
      </c>
      <c r="D49" s="58" t="s">
        <v>390</v>
      </c>
    </row>
    <row r="50" spans="2:4" ht="50.65" customHeight="1" x14ac:dyDescent="0.45">
      <c r="B50" s="16" t="s">
        <v>391</v>
      </c>
      <c r="C50" s="53" t="s">
        <v>392</v>
      </c>
      <c r="D50" s="12" t="s">
        <v>393</v>
      </c>
    </row>
    <row r="51" spans="2:4" ht="24" customHeight="1" x14ac:dyDescent="0.45">
      <c r="B51" s="60" t="s">
        <v>394</v>
      </c>
      <c r="C51" s="61" t="s">
        <v>395</v>
      </c>
      <c r="D51" s="58" t="s">
        <v>396</v>
      </c>
    </row>
    <row r="52" spans="2:4" ht="46.9" customHeight="1" x14ac:dyDescent="0.45">
      <c r="B52" s="16" t="s">
        <v>397</v>
      </c>
      <c r="C52" s="53" t="s">
        <v>86</v>
      </c>
      <c r="D52" s="12" t="s">
        <v>398</v>
      </c>
    </row>
    <row r="53" spans="2:4" ht="119.25" customHeight="1" x14ac:dyDescent="0.45">
      <c r="B53" s="56" t="s">
        <v>399</v>
      </c>
      <c r="C53" s="62" t="s">
        <v>400</v>
      </c>
      <c r="D53" s="58" t="s">
        <v>401</v>
      </c>
    </row>
    <row r="54" spans="2:4" ht="123.75" customHeight="1" x14ac:dyDescent="0.45">
      <c r="B54" s="56" t="s">
        <v>402</v>
      </c>
      <c r="C54" s="69" t="s">
        <v>403</v>
      </c>
      <c r="D54" s="58" t="s">
        <v>404</v>
      </c>
    </row>
    <row r="57" spans="2:4" ht="154.5" customHeight="1" x14ac:dyDescent="0.45">
      <c r="B57" s="153" t="s">
        <v>405</v>
      </c>
      <c r="C57" s="138"/>
      <c r="D57" s="138"/>
    </row>
  </sheetData>
  <mergeCells count="8">
    <mergeCell ref="B37:D37"/>
    <mergeCell ref="B57:D57"/>
    <mergeCell ref="B1:D1"/>
    <mergeCell ref="B22:D22"/>
    <mergeCell ref="B4:D4"/>
    <mergeCell ref="B13:D13"/>
    <mergeCell ref="B44:D44"/>
    <mergeCell ref="B2:D2"/>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7AE60"/>
  </sheetPr>
  <dimension ref="B1:I60"/>
  <sheetViews>
    <sheetView showGridLines="0" zoomScaleNormal="100" workbookViewId="0">
      <pane xSplit="2" ySplit="5" topLeftCell="C44" activePane="bottomRight" state="frozen"/>
      <selection pane="topRight" activeCell="C1" sqref="C1"/>
      <selection pane="bottomLeft" activeCell="A6" sqref="A6"/>
      <selection pane="bottomRight"/>
    </sheetView>
  </sheetViews>
  <sheetFormatPr defaultColWidth="8.6640625" defaultRowHeight="14.25" x14ac:dyDescent="0.45"/>
  <cols>
    <col min="1" max="1" width="3" customWidth="1"/>
    <col min="2" max="2" width="38" customWidth="1"/>
    <col min="3" max="9" width="13" customWidth="1"/>
    <col min="10" max="10" width="3" customWidth="1"/>
  </cols>
  <sheetData>
    <row r="1" spans="2:9" ht="25.5" customHeight="1" x14ac:dyDescent="0.45">
      <c r="B1" s="147" t="s">
        <v>406</v>
      </c>
      <c r="C1" s="138"/>
      <c r="D1" s="138"/>
      <c r="E1" s="138"/>
      <c r="F1" s="138"/>
      <c r="G1" s="138"/>
      <c r="H1" s="138"/>
      <c r="I1" s="138"/>
    </row>
    <row r="2" spans="2:9" ht="27.75" customHeight="1" x14ac:dyDescent="0.45">
      <c r="B2" s="160" t="s">
        <v>407</v>
      </c>
      <c r="C2" s="138"/>
      <c r="D2" s="138"/>
      <c r="E2" s="138"/>
      <c r="F2" s="138"/>
      <c r="G2" s="138"/>
      <c r="H2" s="138"/>
      <c r="I2" s="138"/>
    </row>
    <row r="5" spans="2:9" ht="21.75" customHeight="1" x14ac:dyDescent="0.45">
      <c r="B5" s="3"/>
      <c r="C5" s="3" t="s">
        <v>225</v>
      </c>
      <c r="D5" s="3" t="s">
        <v>408</v>
      </c>
      <c r="E5" s="3" t="s">
        <v>409</v>
      </c>
      <c r="F5" s="3" t="s">
        <v>410</v>
      </c>
      <c r="G5" s="3" t="s">
        <v>411</v>
      </c>
      <c r="H5" s="3" t="s">
        <v>412</v>
      </c>
    </row>
    <row r="6" spans="2:9" ht="21.75" customHeight="1" x14ac:dyDescent="0.45">
      <c r="B6" s="152" t="s">
        <v>413</v>
      </c>
      <c r="C6" s="138"/>
      <c r="D6" s="138"/>
      <c r="E6" s="138"/>
      <c r="F6" s="138"/>
      <c r="G6" s="138"/>
      <c r="H6" s="138"/>
      <c r="I6" s="138"/>
    </row>
    <row r="7" spans="2:9" ht="18" customHeight="1" x14ac:dyDescent="0.45">
      <c r="B7" s="14" t="s">
        <v>227</v>
      </c>
      <c r="C7" s="15">
        <v>1366.2</v>
      </c>
      <c r="D7" s="15">
        <f>C7*1.13</f>
        <v>1543.8059999999998</v>
      </c>
      <c r="E7" s="15">
        <f>D7*1.13</f>
        <v>1744.5007799999996</v>
      </c>
      <c r="F7" s="15">
        <f>E7*1.13</f>
        <v>1971.2858813999994</v>
      </c>
      <c r="G7" s="15">
        <f>F7*1.13</f>
        <v>2227.5530459819993</v>
      </c>
      <c r="H7" s="15">
        <f>G7*1.13</f>
        <v>2517.134941959659</v>
      </c>
    </row>
    <row r="8" spans="2:9" ht="18" customHeight="1" x14ac:dyDescent="0.45">
      <c r="B8" s="16" t="s">
        <v>414</v>
      </c>
      <c r="C8" s="17">
        <v>0.16900000000000001</v>
      </c>
      <c r="D8" s="17">
        <v>0.17499999999999999</v>
      </c>
      <c r="E8" s="17">
        <v>0.185</v>
      </c>
      <c r="F8" s="17">
        <v>0.2</v>
      </c>
      <c r="G8" s="17">
        <v>0.21</v>
      </c>
      <c r="H8" s="17">
        <v>0.22</v>
      </c>
    </row>
    <row r="9" spans="2:9" ht="18" customHeight="1" x14ac:dyDescent="0.45">
      <c r="B9" s="14" t="s">
        <v>230</v>
      </c>
      <c r="C9" s="15">
        <f t="shared" ref="C9:H9" si="0">C7*C8</f>
        <v>230.88780000000003</v>
      </c>
      <c r="D9" s="15">
        <f t="shared" si="0"/>
        <v>270.16604999999993</v>
      </c>
      <c r="E9" s="15">
        <f t="shared" si="0"/>
        <v>322.73264429999995</v>
      </c>
      <c r="F9" s="15">
        <f t="shared" si="0"/>
        <v>394.2571762799999</v>
      </c>
      <c r="G9" s="15">
        <f t="shared" si="0"/>
        <v>467.7861396562198</v>
      </c>
      <c r="H9" s="15">
        <f t="shared" si="0"/>
        <v>553.76968723112498</v>
      </c>
    </row>
    <row r="10" spans="2:9" ht="18" customHeight="1" x14ac:dyDescent="0.45">
      <c r="B10" s="16" t="s">
        <v>415</v>
      </c>
      <c r="C10" s="23">
        <f t="shared" ref="C10:H10" si="1">C7*0.028</f>
        <v>38.253599999999999</v>
      </c>
      <c r="D10" s="23">
        <f t="shared" si="1"/>
        <v>43.226567999999993</v>
      </c>
      <c r="E10" s="23">
        <f t="shared" si="1"/>
        <v>48.846021839999992</v>
      </c>
      <c r="F10" s="23">
        <f t="shared" si="1"/>
        <v>55.196004679199987</v>
      </c>
      <c r="G10" s="23">
        <f t="shared" si="1"/>
        <v>62.371485287495979</v>
      </c>
      <c r="H10" s="23">
        <f t="shared" si="1"/>
        <v>70.479778374870449</v>
      </c>
    </row>
    <row r="11" spans="2:9" ht="18" customHeight="1" x14ac:dyDescent="0.45">
      <c r="B11" s="25" t="s">
        <v>416</v>
      </c>
      <c r="C11" s="27">
        <f t="shared" ref="C11:H11" si="2">C9*0.71</f>
        <v>163.93033800000001</v>
      </c>
      <c r="D11" s="27">
        <f t="shared" si="2"/>
        <v>191.81789549999993</v>
      </c>
      <c r="E11" s="27">
        <f t="shared" si="2"/>
        <v>229.14017745299995</v>
      </c>
      <c r="F11" s="27">
        <f t="shared" si="2"/>
        <v>279.92259515879994</v>
      </c>
      <c r="G11" s="27">
        <f t="shared" si="2"/>
        <v>332.12815915591602</v>
      </c>
      <c r="H11" s="27">
        <f t="shared" si="2"/>
        <v>393.17647793409873</v>
      </c>
    </row>
    <row r="12" spans="2:9" ht="18" customHeight="1" x14ac:dyDescent="0.45">
      <c r="B12" s="16" t="s">
        <v>417</v>
      </c>
      <c r="C12" s="23">
        <f t="shared" ref="C12:H12" si="3">-C7*0.028</f>
        <v>-38.253599999999999</v>
      </c>
      <c r="D12" s="23">
        <f t="shared" si="3"/>
        <v>-43.226567999999993</v>
      </c>
      <c r="E12" s="23">
        <f t="shared" si="3"/>
        <v>-48.846021839999992</v>
      </c>
      <c r="F12" s="23">
        <f t="shared" si="3"/>
        <v>-55.196004679199987</v>
      </c>
      <c r="G12" s="23">
        <f t="shared" si="3"/>
        <v>-62.371485287495979</v>
      </c>
      <c r="H12" s="23">
        <f t="shared" si="3"/>
        <v>-70.479778374870449</v>
      </c>
    </row>
    <row r="13" spans="2:9" ht="18" customHeight="1" x14ac:dyDescent="0.45">
      <c r="B13" s="25" t="s">
        <v>418</v>
      </c>
      <c r="C13" s="27">
        <f t="shared" ref="C13:H13" si="4">-C7*0.015</f>
        <v>-20.492999999999999</v>
      </c>
      <c r="D13" s="27">
        <f t="shared" si="4"/>
        <v>-23.157089999999997</v>
      </c>
      <c r="E13" s="27">
        <f t="shared" si="4"/>
        <v>-26.167511699999995</v>
      </c>
      <c r="F13" s="27">
        <f t="shared" si="4"/>
        <v>-29.56928822099999</v>
      </c>
      <c r="G13" s="27">
        <f t="shared" si="4"/>
        <v>-33.413295689729985</v>
      </c>
      <c r="H13" s="27">
        <f t="shared" si="4"/>
        <v>-37.757024129394885</v>
      </c>
    </row>
    <row r="14" spans="2:9" ht="18" customHeight="1" x14ac:dyDescent="0.45">
      <c r="B14" s="19" t="s">
        <v>419</v>
      </c>
      <c r="C14" s="20">
        <f t="shared" ref="C14:H14" si="5">C11+C10+C12+C13</f>
        <v>143.43733800000001</v>
      </c>
      <c r="D14" s="20">
        <f t="shared" si="5"/>
        <v>168.66080549999992</v>
      </c>
      <c r="E14" s="20">
        <f t="shared" si="5"/>
        <v>202.97266575299992</v>
      </c>
      <c r="F14" s="20">
        <f t="shared" si="5"/>
        <v>250.35330693779994</v>
      </c>
      <c r="G14" s="20">
        <f t="shared" si="5"/>
        <v>298.71486346618605</v>
      </c>
      <c r="H14" s="20">
        <f t="shared" si="5"/>
        <v>355.41945380470389</v>
      </c>
    </row>
    <row r="15" spans="2:9" ht="18" customHeight="1" x14ac:dyDescent="0.45">
      <c r="B15" s="25" t="s">
        <v>420</v>
      </c>
      <c r="C15" s="37">
        <v>5.8000000000000003E-2</v>
      </c>
      <c r="D15" s="37">
        <v>5.8000000000000003E-2</v>
      </c>
      <c r="E15" s="37">
        <v>5.8000000000000003E-2</v>
      </c>
      <c r="F15" s="37">
        <v>5.8000000000000003E-2</v>
      </c>
      <c r="G15" s="37">
        <v>5.8000000000000003E-2</v>
      </c>
      <c r="H15" s="37">
        <v>5.8000000000000003E-2</v>
      </c>
    </row>
    <row r="16" spans="2:9" ht="18" customHeight="1" x14ac:dyDescent="0.45">
      <c r="B16" s="16" t="s">
        <v>421</v>
      </c>
      <c r="C16" s="24"/>
      <c r="D16" s="24">
        <v>0.5</v>
      </c>
      <c r="E16" s="24">
        <v>1.5</v>
      </c>
      <c r="F16" s="24">
        <v>2.5</v>
      </c>
      <c r="G16" s="24">
        <v>3.5</v>
      </c>
      <c r="H16" s="24">
        <v>4.5</v>
      </c>
    </row>
    <row r="17" spans="2:9" ht="18" customHeight="1" x14ac:dyDescent="0.45">
      <c r="B17" s="25" t="s">
        <v>422</v>
      </c>
      <c r="C17" s="70"/>
      <c r="D17" s="71">
        <f>1/(1+D15)^D16</f>
        <v>0.97220346847816941</v>
      </c>
      <c r="E17" s="71">
        <f>1/(1+E15)^E16</f>
        <v>0.91890687001717342</v>
      </c>
      <c r="F17" s="71">
        <f>1/(1+F15)^F16</f>
        <v>0.86853201324874596</v>
      </c>
      <c r="G17" s="71">
        <f>1/(1+G15)^G16</f>
        <v>0.82091872707820979</v>
      </c>
      <c r="H17" s="71">
        <f>1/(1+H15)^H16</f>
        <v>0.77591562105690903</v>
      </c>
    </row>
    <row r="18" spans="2:9" ht="18" customHeight="1" x14ac:dyDescent="0.45">
      <c r="B18" s="19" t="s">
        <v>423</v>
      </c>
      <c r="C18" s="20"/>
      <c r="D18" s="20">
        <f>D14*D17</f>
        <v>163.97262010342183</v>
      </c>
      <c r="E18" s="20">
        <f>E14*E17</f>
        <v>186.51297698613109</v>
      </c>
      <c r="F18" s="20">
        <f>F14*F17</f>
        <v>217.43986169816861</v>
      </c>
      <c r="G18" s="20">
        <f>G14*G17</f>
        <v>245.22062547600268</v>
      </c>
      <c r="H18" s="20">
        <f>H14*H17</f>
        <v>275.77550623458421</v>
      </c>
    </row>
    <row r="19" spans="2:9" ht="18" customHeight="1" x14ac:dyDescent="0.45">
      <c r="B19" s="14" t="s">
        <v>424</v>
      </c>
      <c r="C19" s="15"/>
      <c r="D19" s="15">
        <f>SUM(D18:H18)</f>
        <v>1088.9215904983084</v>
      </c>
      <c r="E19" s="15"/>
      <c r="F19" s="15"/>
      <c r="G19" s="15"/>
      <c r="H19" s="15"/>
    </row>
    <row r="20" spans="2:9" ht="18" customHeight="1" x14ac:dyDescent="0.45">
      <c r="B20" s="16" t="s">
        <v>425</v>
      </c>
      <c r="C20" s="17">
        <v>0.03</v>
      </c>
      <c r="D20" s="17"/>
      <c r="E20" s="17"/>
      <c r="F20" s="17"/>
      <c r="G20" s="17"/>
      <c r="H20" s="17"/>
    </row>
    <row r="21" spans="2:9" ht="18" customHeight="1" x14ac:dyDescent="0.45">
      <c r="B21" s="14" t="s">
        <v>426</v>
      </c>
      <c r="C21" s="15"/>
      <c r="D21" s="15"/>
      <c r="E21" s="15"/>
      <c r="F21" s="15"/>
      <c r="G21" s="15"/>
      <c r="H21" s="15">
        <f>H14*(1+C20)/(C15-C20)</f>
        <v>13074.358479244462</v>
      </c>
    </row>
    <row r="22" spans="2:9" ht="18" customHeight="1" x14ac:dyDescent="0.45">
      <c r="B22" s="19" t="s">
        <v>427</v>
      </c>
      <c r="C22" s="20"/>
      <c r="D22" s="20"/>
      <c r="E22" s="20"/>
      <c r="F22" s="20"/>
      <c r="G22" s="20"/>
      <c r="H22" s="20">
        <f>H21/(1+H15)^5</f>
        <v>9862.6143140379772</v>
      </c>
    </row>
    <row r="23" spans="2:9" ht="18" customHeight="1" x14ac:dyDescent="0.45">
      <c r="B23" s="14" t="s">
        <v>428</v>
      </c>
      <c r="C23" s="15">
        <f>D19+H22</f>
        <v>10951.535904536286</v>
      </c>
      <c r="D23" s="15"/>
      <c r="E23" s="15"/>
      <c r="F23" s="15"/>
      <c r="G23" s="15"/>
      <c r="H23" s="15"/>
    </row>
    <row r="24" spans="2:9" ht="18" customHeight="1" x14ac:dyDescent="0.45">
      <c r="B24" s="16" t="s">
        <v>429</v>
      </c>
      <c r="C24" s="24">
        <v>-391</v>
      </c>
      <c r="D24" s="24"/>
      <c r="E24" s="24"/>
      <c r="F24" s="24"/>
      <c r="G24" s="24"/>
      <c r="H24" s="24"/>
    </row>
    <row r="25" spans="2:9" ht="18" customHeight="1" x14ac:dyDescent="0.45">
      <c r="B25" s="72" t="s">
        <v>430</v>
      </c>
      <c r="C25" s="73">
        <f>C23+C24</f>
        <v>10560.535904536286</v>
      </c>
      <c r="D25" s="73"/>
      <c r="E25" s="73"/>
      <c r="F25" s="73"/>
      <c r="G25" s="73"/>
      <c r="H25" s="73"/>
    </row>
    <row r="26" spans="2:9" ht="18" customHeight="1" x14ac:dyDescent="0.45">
      <c r="B26" s="16" t="s">
        <v>431</v>
      </c>
      <c r="C26" s="24">
        <v>100</v>
      </c>
      <c r="D26" s="24"/>
      <c r="E26" s="24"/>
      <c r="F26" s="24"/>
      <c r="G26" s="24"/>
      <c r="H26" s="24"/>
    </row>
    <row r="27" spans="2:9" ht="18" customHeight="1" x14ac:dyDescent="0.45">
      <c r="B27" s="74" t="s">
        <v>432</v>
      </c>
      <c r="C27" s="75">
        <f>C25/C26</f>
        <v>105.60535904536286</v>
      </c>
      <c r="D27" s="75"/>
      <c r="E27" s="75"/>
      <c r="F27" s="75"/>
      <c r="G27" s="75"/>
      <c r="H27" s="75"/>
    </row>
    <row r="28" spans="2:9" ht="18" customHeight="1" x14ac:dyDescent="0.45">
      <c r="B28" s="16" t="s">
        <v>433</v>
      </c>
      <c r="C28" s="18">
        <f>(C27-44.5)/44.5</f>
        <v>1.3731541358508508</v>
      </c>
      <c r="D28" s="17"/>
      <c r="E28" s="17"/>
      <c r="F28" s="17"/>
      <c r="G28" s="17"/>
      <c r="H28" s="17"/>
    </row>
    <row r="29" spans="2:9" ht="7.5" customHeight="1" x14ac:dyDescent="0.45"/>
    <row r="30" spans="2:9" ht="21.75" customHeight="1" x14ac:dyDescent="0.45">
      <c r="B30" s="157" t="s">
        <v>434</v>
      </c>
      <c r="C30" s="138"/>
      <c r="D30" s="138"/>
      <c r="E30" s="138"/>
      <c r="F30" s="138"/>
      <c r="G30" s="138"/>
      <c r="H30" s="138"/>
      <c r="I30" s="138"/>
    </row>
    <row r="31" spans="2:9" ht="18" customHeight="1" x14ac:dyDescent="0.45">
      <c r="B31" s="14" t="s">
        <v>227</v>
      </c>
      <c r="C31" s="15">
        <v>1366.2</v>
      </c>
      <c r="D31" s="15">
        <f>C31*1.06</f>
        <v>1448.172</v>
      </c>
      <c r="E31" s="15">
        <f>D31*1.06</f>
        <v>1535.06232</v>
      </c>
      <c r="F31" s="15">
        <f>E31*1.06</f>
        <v>1627.1660592000001</v>
      </c>
      <c r="G31" s="15">
        <f>F31*1.06</f>
        <v>1724.7960227520002</v>
      </c>
      <c r="H31" s="15">
        <f>G31*1.06</f>
        <v>1828.2837841171204</v>
      </c>
    </row>
    <row r="32" spans="2:9" ht="18" customHeight="1" x14ac:dyDescent="0.45">
      <c r="B32" s="16" t="s">
        <v>435</v>
      </c>
      <c r="C32" s="17">
        <v>0.16900000000000001</v>
      </c>
      <c r="D32" s="17">
        <v>0.17</v>
      </c>
      <c r="E32" s="17">
        <v>0.17499999999999999</v>
      </c>
      <c r="F32" s="17">
        <v>0.18</v>
      </c>
      <c r="G32" s="17">
        <v>0.188</v>
      </c>
      <c r="H32" s="17">
        <v>0.19</v>
      </c>
    </row>
    <row r="33" spans="2:8" ht="18" customHeight="1" x14ac:dyDescent="0.45">
      <c r="B33" s="14" t="s">
        <v>230</v>
      </c>
      <c r="C33" s="15">
        <f t="shared" ref="C33:H33" si="6">C31*C32</f>
        <v>230.88780000000003</v>
      </c>
      <c r="D33" s="15">
        <f t="shared" si="6"/>
        <v>246.18924000000001</v>
      </c>
      <c r="E33" s="15">
        <f t="shared" si="6"/>
        <v>268.63590599999998</v>
      </c>
      <c r="F33" s="15">
        <f t="shared" si="6"/>
        <v>292.88989065599998</v>
      </c>
      <c r="G33" s="15">
        <f t="shared" si="6"/>
        <v>324.26165227737602</v>
      </c>
      <c r="H33" s="15">
        <f t="shared" si="6"/>
        <v>347.37391898225286</v>
      </c>
    </row>
    <row r="34" spans="2:8" ht="18" customHeight="1" x14ac:dyDescent="0.45">
      <c r="B34" s="16" t="s">
        <v>436</v>
      </c>
      <c r="C34" s="23">
        <f t="shared" ref="C34:H34" si="7">C33*0.71</f>
        <v>163.93033800000001</v>
      </c>
      <c r="D34" s="23">
        <f t="shared" si="7"/>
        <v>174.79436039999999</v>
      </c>
      <c r="E34" s="23">
        <f t="shared" si="7"/>
        <v>190.73149325999998</v>
      </c>
      <c r="F34" s="23">
        <f t="shared" si="7"/>
        <v>207.95182236575997</v>
      </c>
      <c r="G34" s="23">
        <f t="shared" si="7"/>
        <v>230.22577311693695</v>
      </c>
      <c r="H34" s="23">
        <f t="shared" si="7"/>
        <v>246.63548247739951</v>
      </c>
    </row>
    <row r="35" spans="2:8" ht="18" customHeight="1" x14ac:dyDescent="0.45">
      <c r="B35" s="25" t="s">
        <v>437</v>
      </c>
      <c r="C35" s="27">
        <f t="shared" ref="C35:H35" si="8">C31*0.028</f>
        <v>38.253599999999999</v>
      </c>
      <c r="D35" s="27">
        <f t="shared" si="8"/>
        <v>40.548816000000002</v>
      </c>
      <c r="E35" s="27">
        <f t="shared" si="8"/>
        <v>42.98174496</v>
      </c>
      <c r="F35" s="27">
        <f t="shared" si="8"/>
        <v>45.560649657600003</v>
      </c>
      <c r="G35" s="27">
        <f t="shared" si="8"/>
        <v>48.294288637056006</v>
      </c>
      <c r="H35" s="27">
        <f t="shared" si="8"/>
        <v>51.191945955279373</v>
      </c>
    </row>
    <row r="36" spans="2:8" ht="18" customHeight="1" x14ac:dyDescent="0.45">
      <c r="B36" s="16" t="s">
        <v>253</v>
      </c>
      <c r="C36" s="23">
        <f t="shared" ref="C36:H36" si="9">-C31*0.028</f>
        <v>-38.253599999999999</v>
      </c>
      <c r="D36" s="23">
        <f t="shared" si="9"/>
        <v>-40.548816000000002</v>
      </c>
      <c r="E36" s="23">
        <f t="shared" si="9"/>
        <v>-42.98174496</v>
      </c>
      <c r="F36" s="23">
        <f t="shared" si="9"/>
        <v>-45.560649657600003</v>
      </c>
      <c r="G36" s="23">
        <f t="shared" si="9"/>
        <v>-48.294288637056006</v>
      </c>
      <c r="H36" s="23">
        <f t="shared" si="9"/>
        <v>-51.191945955279373</v>
      </c>
    </row>
    <row r="37" spans="2:8" ht="18" customHeight="1" x14ac:dyDescent="0.45">
      <c r="B37" s="25" t="s">
        <v>438</v>
      </c>
      <c r="C37" s="27">
        <f t="shared" ref="C37:H37" si="10">-C31*0.01</f>
        <v>-13.662000000000001</v>
      </c>
      <c r="D37" s="27">
        <f t="shared" si="10"/>
        <v>-14.481720000000001</v>
      </c>
      <c r="E37" s="27">
        <f t="shared" si="10"/>
        <v>-15.350623200000001</v>
      </c>
      <c r="F37" s="27">
        <f t="shared" si="10"/>
        <v>-16.271660592</v>
      </c>
      <c r="G37" s="27">
        <f t="shared" si="10"/>
        <v>-17.247960227520004</v>
      </c>
      <c r="H37" s="27">
        <f t="shared" si="10"/>
        <v>-18.282837841171204</v>
      </c>
    </row>
    <row r="38" spans="2:8" ht="18" customHeight="1" x14ac:dyDescent="0.45">
      <c r="B38" s="19" t="s">
        <v>439</v>
      </c>
      <c r="C38" s="20">
        <f t="shared" ref="C38:H38" si="11">C34+C35+C36+C37</f>
        <v>150.268338</v>
      </c>
      <c r="D38" s="20">
        <f t="shared" si="11"/>
        <v>160.31264040000002</v>
      </c>
      <c r="E38" s="20">
        <f t="shared" si="11"/>
        <v>175.38087005999998</v>
      </c>
      <c r="F38" s="20">
        <f t="shared" si="11"/>
        <v>191.68016177375998</v>
      </c>
      <c r="G38" s="20">
        <f t="shared" si="11"/>
        <v>212.97781288941692</v>
      </c>
      <c r="H38" s="20">
        <f t="shared" si="11"/>
        <v>228.35264463622826</v>
      </c>
    </row>
    <row r="39" spans="2:8" ht="18" customHeight="1" x14ac:dyDescent="0.45">
      <c r="B39" s="25" t="s">
        <v>440</v>
      </c>
      <c r="C39" s="37">
        <v>7.1999999999999995E-2</v>
      </c>
      <c r="D39" s="37">
        <v>7.1999999999999995E-2</v>
      </c>
      <c r="E39" s="37">
        <v>7.1999999999999995E-2</v>
      </c>
      <c r="F39" s="37">
        <v>7.1999999999999995E-2</v>
      </c>
      <c r="G39" s="37">
        <v>7.1999999999999995E-2</v>
      </c>
      <c r="H39" s="37">
        <v>7.1999999999999995E-2</v>
      </c>
    </row>
    <row r="40" spans="2:8" ht="18" customHeight="1" x14ac:dyDescent="0.45">
      <c r="B40" s="16" t="s">
        <v>421</v>
      </c>
      <c r="C40" s="24"/>
      <c r="D40" s="24">
        <v>0.5</v>
      </c>
      <c r="E40" s="24">
        <v>1.5</v>
      </c>
      <c r="F40" s="24">
        <v>2.5</v>
      </c>
      <c r="G40" s="24">
        <v>3.5</v>
      </c>
      <c r="H40" s="24">
        <v>4.5</v>
      </c>
    </row>
    <row r="41" spans="2:8" ht="18" customHeight="1" x14ac:dyDescent="0.45">
      <c r="B41" s="25" t="s">
        <v>422</v>
      </c>
      <c r="C41" s="70"/>
      <c r="D41" s="71">
        <f>1/(1+D39)^D40</f>
        <v>0.96583426160781971</v>
      </c>
      <c r="E41" s="71">
        <f>1/(1+E39)^E40</f>
        <v>0.90096479627595116</v>
      </c>
      <c r="F41" s="71">
        <f>1/(1+F39)^F40</f>
        <v>0.84045223533204394</v>
      </c>
      <c r="G41" s="71">
        <f>1/(1+G39)^G40</f>
        <v>0.78400395086944397</v>
      </c>
      <c r="H41" s="71">
        <f>1/(1+H39)^H40</f>
        <v>0.73134696909463048</v>
      </c>
    </row>
    <row r="42" spans="2:8" ht="18" customHeight="1" x14ac:dyDescent="0.45">
      <c r="B42" s="19" t="s">
        <v>441</v>
      </c>
      <c r="C42" s="20"/>
      <c r="D42" s="20">
        <f>D38*D41</f>
        <v>154.83544066713395</v>
      </c>
      <c r="E42" s="20">
        <f>E38*E41</f>
        <v>158.01198986430694</v>
      </c>
      <c r="F42" s="20">
        <f>F38*F41</f>
        <v>161.09802043156438</v>
      </c>
      <c r="G42" s="20">
        <f>G38*G41</f>
        <v>166.97544675283606</v>
      </c>
      <c r="H42" s="20">
        <f>H38*H41</f>
        <v>167.00501453944878</v>
      </c>
    </row>
    <row r="43" spans="2:8" ht="18" customHeight="1" x14ac:dyDescent="0.45">
      <c r="B43" s="14" t="s">
        <v>442</v>
      </c>
      <c r="C43" s="15"/>
      <c r="D43" s="15">
        <f>SUM(D42:H42)</f>
        <v>807.92591225529009</v>
      </c>
      <c r="E43" s="15"/>
      <c r="F43" s="15"/>
      <c r="G43" s="15"/>
      <c r="H43" s="15"/>
    </row>
    <row r="44" spans="2:8" ht="18" customHeight="1" x14ac:dyDescent="0.45">
      <c r="B44" s="16" t="s">
        <v>443</v>
      </c>
      <c r="C44" s="17">
        <v>0.02</v>
      </c>
      <c r="D44" s="17"/>
      <c r="E44" s="17"/>
      <c r="F44" s="17"/>
      <c r="G44" s="17"/>
      <c r="H44" s="17"/>
    </row>
    <row r="45" spans="2:8" ht="18" customHeight="1" x14ac:dyDescent="0.45">
      <c r="B45" s="14" t="s">
        <v>444</v>
      </c>
      <c r="C45" s="15"/>
      <c r="D45" s="15"/>
      <c r="E45" s="15"/>
      <c r="F45" s="15"/>
      <c r="G45" s="15"/>
      <c r="H45" s="15">
        <f>H38*(1+C44)/(C39-C44)</f>
        <v>4479.2249524798626</v>
      </c>
    </row>
    <row r="46" spans="2:8" ht="18" customHeight="1" x14ac:dyDescent="0.45">
      <c r="B46" s="19" t="s">
        <v>445</v>
      </c>
      <c r="C46" s="20"/>
      <c r="D46" s="20"/>
      <c r="E46" s="20"/>
      <c r="F46" s="20"/>
      <c r="G46" s="20"/>
      <c r="H46" s="20">
        <f>H45/(1+H39)^5</f>
        <v>3163.9451577031141</v>
      </c>
    </row>
    <row r="47" spans="2:8" ht="18" customHeight="1" x14ac:dyDescent="0.45">
      <c r="B47" s="14" t="s">
        <v>446</v>
      </c>
      <c r="C47" s="15">
        <f>D43+H46</f>
        <v>3971.8710699584044</v>
      </c>
      <c r="D47" s="15"/>
      <c r="E47" s="15"/>
      <c r="F47" s="15"/>
      <c r="G47" s="15"/>
      <c r="H47" s="15"/>
    </row>
    <row r="48" spans="2:8" ht="18" customHeight="1" x14ac:dyDescent="0.45">
      <c r="B48" s="16" t="s">
        <v>429</v>
      </c>
      <c r="C48" s="24">
        <v>-391</v>
      </c>
      <c r="D48" s="24"/>
      <c r="E48" s="24"/>
      <c r="F48" s="24"/>
      <c r="G48" s="24"/>
      <c r="H48" s="24"/>
    </row>
    <row r="49" spans="2:9" ht="18" customHeight="1" x14ac:dyDescent="0.45">
      <c r="B49" s="76" t="s">
        <v>447</v>
      </c>
      <c r="C49" s="77">
        <f>C47+C48</f>
        <v>3580.8710699584044</v>
      </c>
      <c r="D49" s="77"/>
      <c r="E49" s="77"/>
      <c r="F49" s="77"/>
      <c r="G49" s="77"/>
      <c r="H49" s="77"/>
    </row>
    <row r="50" spans="2:9" ht="18" customHeight="1" x14ac:dyDescent="0.45">
      <c r="B50" s="78" t="s">
        <v>448</v>
      </c>
      <c r="C50" s="79">
        <f>C49/100</f>
        <v>35.808710699584047</v>
      </c>
      <c r="D50" s="79"/>
      <c r="E50" s="79"/>
      <c r="F50" s="79"/>
      <c r="G50" s="79"/>
      <c r="H50" s="79"/>
    </row>
    <row r="51" spans="2:9" ht="18" customHeight="1" x14ac:dyDescent="0.45">
      <c r="B51" s="16" t="s">
        <v>433</v>
      </c>
      <c r="C51" s="18">
        <f>(C50-44.5)/44.5</f>
        <v>-0.19530987191945962</v>
      </c>
      <c r="D51" s="17"/>
      <c r="E51" s="17"/>
      <c r="F51" s="17"/>
      <c r="G51" s="17"/>
      <c r="H51" s="17"/>
    </row>
    <row r="53" spans="2:9" ht="21.75" customHeight="1" x14ac:dyDescent="0.45">
      <c r="B53" s="152" t="s">
        <v>449</v>
      </c>
      <c r="C53" s="138"/>
      <c r="D53" s="138"/>
      <c r="E53" s="138"/>
      <c r="F53" s="138"/>
      <c r="G53" s="138"/>
      <c r="H53" s="138"/>
      <c r="I53" s="138"/>
    </row>
    <row r="54" spans="2:9" ht="19.5" customHeight="1" x14ac:dyDescent="0.45">
      <c r="B54" s="80" t="s">
        <v>450</v>
      </c>
      <c r="C54" s="126">
        <v>4.4999999999999998E-2</v>
      </c>
      <c r="D54" s="126">
        <v>0.05</v>
      </c>
      <c r="E54" s="81" t="s">
        <v>451</v>
      </c>
      <c r="F54" s="126">
        <v>6.5000000000000002E-2</v>
      </c>
      <c r="G54" s="126">
        <v>7.2000000000000008E-2</v>
      </c>
    </row>
    <row r="55" spans="2:9" ht="13.5" customHeight="1" x14ac:dyDescent="0.45">
      <c r="B55" s="82" t="s">
        <v>452</v>
      </c>
    </row>
    <row r="56" spans="2:9" ht="18" customHeight="1" x14ac:dyDescent="0.45">
      <c r="B56" s="127">
        <v>2.5000000000000001E-2</v>
      </c>
      <c r="C56" s="128">
        <v>212</v>
      </c>
      <c r="D56" s="129">
        <v>178</v>
      </c>
      <c r="E56" s="128">
        <v>138</v>
      </c>
      <c r="F56" s="129">
        <v>108</v>
      </c>
      <c r="G56" s="128">
        <v>84</v>
      </c>
    </row>
    <row r="57" spans="2:9" ht="18" customHeight="1" x14ac:dyDescent="0.45">
      <c r="B57" s="127">
        <v>0.03</v>
      </c>
      <c r="C57" s="129">
        <v>248</v>
      </c>
      <c r="D57" s="128">
        <v>207</v>
      </c>
      <c r="E57" s="130">
        <v>159</v>
      </c>
      <c r="F57" s="128">
        <v>124</v>
      </c>
      <c r="G57" s="129">
        <v>96</v>
      </c>
    </row>
    <row r="58" spans="2:9" ht="18" customHeight="1" x14ac:dyDescent="0.45">
      <c r="B58" s="127">
        <v>3.5000000000000003E-2</v>
      </c>
      <c r="C58" s="128">
        <v>298</v>
      </c>
      <c r="D58" s="129">
        <v>246</v>
      </c>
      <c r="E58" s="128">
        <v>188</v>
      </c>
      <c r="F58" s="129">
        <v>145</v>
      </c>
      <c r="G58" s="128">
        <v>111</v>
      </c>
    </row>
    <row r="60" spans="2:9" ht="44.25" customHeight="1" x14ac:dyDescent="0.45">
      <c r="B60" s="161" t="s">
        <v>453</v>
      </c>
      <c r="C60" s="138"/>
      <c r="D60" s="138"/>
      <c r="E60" s="138"/>
      <c r="F60" s="138"/>
      <c r="G60" s="138"/>
      <c r="H60" s="138"/>
      <c r="I60" s="138"/>
    </row>
  </sheetData>
  <mergeCells count="6">
    <mergeCell ref="B60:I60"/>
    <mergeCell ref="B1:I1"/>
    <mergeCell ref="B53:I53"/>
    <mergeCell ref="B30:I30"/>
    <mergeCell ref="B6:I6"/>
    <mergeCell ref="B2:I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E44AD"/>
  </sheetPr>
  <dimension ref="B1:I15"/>
  <sheetViews>
    <sheetView showGridLines="0" zoomScaleNormal="100" workbookViewId="0">
      <pane xSplit="2" ySplit="4" topLeftCell="C5" activePane="bottomRight" state="frozen"/>
      <selection pane="topRight" activeCell="C1" sqref="C1"/>
      <selection pane="bottomLeft" activeCell="A5" sqref="A5"/>
      <selection pane="bottomRight" activeCell="O15" sqref="O15"/>
    </sheetView>
  </sheetViews>
  <sheetFormatPr defaultColWidth="8.6640625" defaultRowHeight="14.25" x14ac:dyDescent="0.45"/>
  <cols>
    <col min="1" max="1" width="3" customWidth="1"/>
    <col min="2" max="2" width="26" customWidth="1"/>
    <col min="3" max="3" width="12" customWidth="1"/>
    <col min="4" max="4" width="13" customWidth="1"/>
    <col min="5" max="7" width="12" customWidth="1"/>
    <col min="8" max="8" width="11.53125" customWidth="1"/>
    <col min="9" max="9" width="73.06640625" customWidth="1"/>
    <col min="10" max="10" width="3" customWidth="1"/>
  </cols>
  <sheetData>
    <row r="1" spans="2:9" ht="25.5" customHeight="1" x14ac:dyDescent="0.45">
      <c r="B1" s="147" t="s">
        <v>454</v>
      </c>
      <c r="C1" s="138"/>
      <c r="D1" s="138"/>
      <c r="E1" s="138"/>
      <c r="F1" s="138"/>
      <c r="G1" s="138"/>
      <c r="H1" s="138"/>
      <c r="I1" s="138"/>
    </row>
    <row r="2" spans="2:9" ht="36" customHeight="1" x14ac:dyDescent="0.45">
      <c r="B2" s="160" t="s">
        <v>455</v>
      </c>
      <c r="C2" s="138"/>
      <c r="D2" s="138"/>
      <c r="E2" s="138"/>
      <c r="F2" s="138"/>
      <c r="G2" s="138"/>
      <c r="H2" s="138"/>
      <c r="I2" s="138"/>
    </row>
    <row r="4" spans="2:9" ht="27.75" customHeight="1" x14ac:dyDescent="0.45">
      <c r="B4" s="38" t="s">
        <v>456</v>
      </c>
      <c r="C4" s="38" t="s">
        <v>227</v>
      </c>
      <c r="D4" s="38" t="s">
        <v>457</v>
      </c>
      <c r="E4" s="38" t="s">
        <v>458</v>
      </c>
      <c r="F4" s="38" t="s">
        <v>459</v>
      </c>
      <c r="G4" s="38" t="s">
        <v>460</v>
      </c>
      <c r="H4" s="38" t="s">
        <v>461</v>
      </c>
      <c r="I4" s="38" t="s">
        <v>462</v>
      </c>
    </row>
    <row r="5" spans="2:9" ht="60.75" customHeight="1" x14ac:dyDescent="0.45">
      <c r="B5" s="83" t="s">
        <v>463</v>
      </c>
      <c r="C5" s="84" t="s">
        <v>464</v>
      </c>
      <c r="D5" s="131">
        <v>0.19800000000000001</v>
      </c>
      <c r="E5" s="131">
        <v>0.16900000000000001</v>
      </c>
      <c r="F5" s="84" t="s">
        <v>60</v>
      </c>
      <c r="G5" s="84" t="s">
        <v>465</v>
      </c>
      <c r="H5" s="132">
        <v>2.1</v>
      </c>
      <c r="I5" s="134" t="s">
        <v>466</v>
      </c>
    </row>
    <row r="6" spans="2:9" ht="25.5" customHeight="1" x14ac:dyDescent="0.45">
      <c r="B6" s="85" t="s">
        <v>467</v>
      </c>
      <c r="C6" s="86" t="s">
        <v>468</v>
      </c>
      <c r="D6" s="86" t="s">
        <v>469</v>
      </c>
      <c r="E6" s="86" t="s">
        <v>470</v>
      </c>
      <c r="F6" s="86" t="s">
        <v>471</v>
      </c>
      <c r="G6" s="86" t="s">
        <v>472</v>
      </c>
      <c r="H6" s="86" t="s">
        <v>473</v>
      </c>
      <c r="I6" s="135" t="s">
        <v>474</v>
      </c>
    </row>
    <row r="7" spans="2:9" ht="25.5" customHeight="1" x14ac:dyDescent="0.45">
      <c r="B7" s="87" t="s">
        <v>475</v>
      </c>
      <c r="C7" s="88" t="s">
        <v>476</v>
      </c>
      <c r="D7" s="88" t="s">
        <v>477</v>
      </c>
      <c r="E7" s="88" t="s">
        <v>478</v>
      </c>
      <c r="F7" s="88" t="s">
        <v>479</v>
      </c>
      <c r="G7" s="88" t="s">
        <v>480</v>
      </c>
      <c r="H7" s="88" t="s">
        <v>481</v>
      </c>
      <c r="I7" s="136" t="s">
        <v>482</v>
      </c>
    </row>
    <row r="8" spans="2:9" ht="25.5" customHeight="1" x14ac:dyDescent="0.45">
      <c r="B8" s="85" t="s">
        <v>483</v>
      </c>
      <c r="C8" s="86" t="s">
        <v>484</v>
      </c>
      <c r="D8" s="86" t="s">
        <v>485</v>
      </c>
      <c r="E8" s="86" t="s">
        <v>486</v>
      </c>
      <c r="F8" s="86" t="s">
        <v>487</v>
      </c>
      <c r="G8" s="86" t="s">
        <v>488</v>
      </c>
      <c r="H8" s="86" t="s">
        <v>481</v>
      </c>
      <c r="I8" s="135" t="s">
        <v>489</v>
      </c>
    </row>
    <row r="9" spans="2:9" ht="25.5" customHeight="1" x14ac:dyDescent="0.45">
      <c r="B9" s="87" t="s">
        <v>490</v>
      </c>
      <c r="C9" s="88" t="s">
        <v>491</v>
      </c>
      <c r="D9" s="88" t="s">
        <v>470</v>
      </c>
      <c r="E9" s="88" t="s">
        <v>477</v>
      </c>
      <c r="F9" s="88" t="s">
        <v>492</v>
      </c>
      <c r="G9" s="88" t="s">
        <v>493</v>
      </c>
      <c r="H9" s="88" t="s">
        <v>481</v>
      </c>
      <c r="I9" s="136" t="s">
        <v>494</v>
      </c>
    </row>
    <row r="10" spans="2:9" ht="25.5" customHeight="1" x14ac:dyDescent="0.45">
      <c r="B10" s="85" t="s">
        <v>495</v>
      </c>
      <c r="C10" s="86" t="s">
        <v>496</v>
      </c>
      <c r="D10" s="86" t="s">
        <v>497</v>
      </c>
      <c r="E10" s="86" t="s">
        <v>497</v>
      </c>
      <c r="F10" s="86" t="s">
        <v>493</v>
      </c>
      <c r="G10" s="86" t="s">
        <v>498</v>
      </c>
      <c r="H10" s="86" t="s">
        <v>481</v>
      </c>
      <c r="I10" s="135" t="s">
        <v>499</v>
      </c>
    </row>
    <row r="11" spans="2:9" ht="25.5" customHeight="1" x14ac:dyDescent="0.45">
      <c r="B11" s="87" t="s">
        <v>500</v>
      </c>
      <c r="C11" s="88" t="s">
        <v>501</v>
      </c>
      <c r="D11" s="88" t="s">
        <v>49</v>
      </c>
      <c r="E11" s="88" t="s">
        <v>49</v>
      </c>
      <c r="F11" s="88" t="s">
        <v>77</v>
      </c>
      <c r="G11" s="88" t="s">
        <v>77</v>
      </c>
      <c r="H11" s="88" t="s">
        <v>481</v>
      </c>
      <c r="I11" s="136" t="s">
        <v>502</v>
      </c>
    </row>
    <row r="13" spans="2:9" ht="21.75" customHeight="1" x14ac:dyDescent="0.45">
      <c r="B13" s="164" t="s">
        <v>503</v>
      </c>
      <c r="C13" s="138"/>
      <c r="D13" s="138"/>
      <c r="E13" s="162" t="s">
        <v>504</v>
      </c>
      <c r="F13" s="138"/>
      <c r="G13" s="138"/>
      <c r="H13" s="138"/>
      <c r="I13" s="138"/>
    </row>
    <row r="14" spans="2:9" ht="21.75" customHeight="1" x14ac:dyDescent="0.45">
      <c r="B14" s="163" t="s">
        <v>505</v>
      </c>
      <c r="C14" s="138"/>
      <c r="D14" s="138"/>
      <c r="E14" s="165" t="s">
        <v>506</v>
      </c>
      <c r="F14" s="138"/>
      <c r="G14" s="138"/>
      <c r="H14" s="138"/>
      <c r="I14" s="138"/>
    </row>
    <row r="15" spans="2:9" ht="21.75" customHeight="1" x14ac:dyDescent="0.45">
      <c r="B15" s="164" t="s">
        <v>507</v>
      </c>
      <c r="C15" s="138"/>
      <c r="D15" s="138"/>
      <c r="E15" s="162" t="s">
        <v>508</v>
      </c>
      <c r="F15" s="138"/>
      <c r="G15" s="138"/>
      <c r="H15" s="138"/>
      <c r="I15" s="138"/>
    </row>
  </sheetData>
  <mergeCells count="8">
    <mergeCell ref="B1:I1"/>
    <mergeCell ref="E15:I15"/>
    <mergeCell ref="B14:D14"/>
    <mergeCell ref="B2:I2"/>
    <mergeCell ref="E13:I13"/>
    <mergeCell ref="B13:D13"/>
    <mergeCell ref="B15:D15"/>
    <mergeCell ref="E14:I14"/>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392B"/>
  </sheetPr>
  <dimension ref="B1:E38"/>
  <sheetViews>
    <sheetView showGridLines="0" zoomScaleNormal="100" workbookViewId="0"/>
  </sheetViews>
  <sheetFormatPr defaultColWidth="8.6640625" defaultRowHeight="14.25" x14ac:dyDescent="0.45"/>
  <cols>
    <col min="1" max="1" width="3" customWidth="1"/>
    <col min="2" max="2" width="44" customWidth="1"/>
    <col min="3" max="3" width="18" customWidth="1"/>
    <col min="4" max="4" width="22.46484375" customWidth="1"/>
    <col min="5" max="5" width="18" customWidth="1"/>
    <col min="6" max="6" width="3" customWidth="1"/>
  </cols>
  <sheetData>
    <row r="1" spans="2:5" ht="25.5" customHeight="1" x14ac:dyDescent="0.45">
      <c r="B1" s="147" t="s">
        <v>509</v>
      </c>
      <c r="C1" s="138"/>
      <c r="D1" s="138"/>
      <c r="E1" s="138"/>
    </row>
    <row r="2" spans="2:5" ht="27.75" customHeight="1" x14ac:dyDescent="0.45">
      <c r="B2" s="160" t="s">
        <v>510</v>
      </c>
      <c r="C2" s="138"/>
      <c r="D2" s="138"/>
      <c r="E2" s="138"/>
    </row>
    <row r="4" spans="2:5" ht="21.75" customHeight="1" x14ac:dyDescent="0.45">
      <c r="B4" s="3" t="s">
        <v>511</v>
      </c>
      <c r="C4" s="89" t="s">
        <v>512</v>
      </c>
      <c r="D4" s="90" t="s">
        <v>513</v>
      </c>
      <c r="E4" s="91" t="s">
        <v>514</v>
      </c>
    </row>
    <row r="5" spans="2:5" ht="19.5" customHeight="1" x14ac:dyDescent="0.45">
      <c r="B5" s="145" t="s">
        <v>515</v>
      </c>
      <c r="C5" s="138"/>
      <c r="D5" s="138"/>
      <c r="E5" s="138"/>
    </row>
    <row r="6" spans="2:5" ht="19.5" customHeight="1" x14ac:dyDescent="0.45">
      <c r="B6" s="25" t="s">
        <v>516</v>
      </c>
      <c r="C6" s="133">
        <v>44.5</v>
      </c>
      <c r="D6" s="133">
        <v>31.15</v>
      </c>
      <c r="E6" s="133">
        <v>22.25</v>
      </c>
    </row>
    <row r="7" spans="2:5" ht="19.5" customHeight="1" x14ac:dyDescent="0.45">
      <c r="B7" s="16" t="s">
        <v>517</v>
      </c>
      <c r="C7" s="24">
        <v>4450</v>
      </c>
      <c r="D7" s="24">
        <v>3115</v>
      </c>
      <c r="E7" s="24">
        <v>2225</v>
      </c>
    </row>
    <row r="8" spans="2:5" ht="19.5" customHeight="1" x14ac:dyDescent="0.45">
      <c r="B8" s="25" t="s">
        <v>518</v>
      </c>
      <c r="C8" s="26">
        <v>391</v>
      </c>
      <c r="D8" s="26">
        <v>391</v>
      </c>
      <c r="E8" s="26">
        <v>391</v>
      </c>
    </row>
    <row r="9" spans="2:5" ht="19.5" customHeight="1" x14ac:dyDescent="0.45">
      <c r="B9" s="19" t="s">
        <v>519</v>
      </c>
      <c r="C9" s="20">
        <f>C7+C8</f>
        <v>4841</v>
      </c>
      <c r="D9" s="20">
        <f>D7+D8</f>
        <v>3506</v>
      </c>
      <c r="E9" s="20">
        <f>E7+E8</f>
        <v>2616</v>
      </c>
    </row>
    <row r="10" spans="2:5" ht="19.5" customHeight="1" x14ac:dyDescent="0.45">
      <c r="B10" s="25" t="s">
        <v>520</v>
      </c>
      <c r="C10" s="26">
        <v>270</v>
      </c>
      <c r="D10" s="26">
        <v>270</v>
      </c>
      <c r="E10" s="26">
        <v>270</v>
      </c>
    </row>
    <row r="11" spans="2:5" ht="19.5" customHeight="1" x14ac:dyDescent="0.45">
      <c r="B11" s="19" t="s">
        <v>521</v>
      </c>
      <c r="C11" s="92">
        <f>C9/C10</f>
        <v>17.92962962962963</v>
      </c>
      <c r="D11" s="92">
        <f>D9/D10</f>
        <v>12.985185185185186</v>
      </c>
      <c r="E11" s="92">
        <f>E9/E10</f>
        <v>9.6888888888888882</v>
      </c>
    </row>
    <row r="13" spans="2:5" ht="19.5" customHeight="1" x14ac:dyDescent="0.45">
      <c r="B13" s="145" t="s">
        <v>522</v>
      </c>
      <c r="C13" s="138"/>
      <c r="D13" s="138"/>
      <c r="E13" s="138"/>
    </row>
    <row r="14" spans="2:5" ht="19.5" customHeight="1" x14ac:dyDescent="0.45">
      <c r="B14" s="25" t="s">
        <v>523</v>
      </c>
      <c r="C14" s="27">
        <f>4*C10</f>
        <v>1080</v>
      </c>
      <c r="D14" s="27">
        <f>4*D10</f>
        <v>1080</v>
      </c>
      <c r="E14" s="27">
        <f>4*E10</f>
        <v>1080</v>
      </c>
    </row>
    <row r="15" spans="2:5" ht="19.5" customHeight="1" x14ac:dyDescent="0.45">
      <c r="B15" s="19" t="s">
        <v>524</v>
      </c>
      <c r="C15" s="20">
        <f>MAX(C9-C14,0)</f>
        <v>3761</v>
      </c>
      <c r="D15" s="20">
        <f>MAX(D9-D14,0)</f>
        <v>2426</v>
      </c>
      <c r="E15" s="20">
        <f>MAX(E9-E14,0)</f>
        <v>1536</v>
      </c>
    </row>
    <row r="16" spans="2:5" ht="19.5" customHeight="1" x14ac:dyDescent="0.45">
      <c r="B16" s="25" t="s">
        <v>525</v>
      </c>
      <c r="C16" s="33">
        <f>C15/C9</f>
        <v>0.7769055980169387</v>
      </c>
      <c r="D16" s="33">
        <f>D15/D9</f>
        <v>0.6919566457501426</v>
      </c>
      <c r="E16" s="33">
        <f>E15/E9</f>
        <v>0.58715596330275233</v>
      </c>
    </row>
    <row r="17" spans="2:5" ht="19.5" customHeight="1" x14ac:dyDescent="0.45">
      <c r="B17" s="19" t="s">
        <v>526</v>
      </c>
      <c r="C17" s="20" t="s">
        <v>527</v>
      </c>
      <c r="D17" s="20" t="s">
        <v>528</v>
      </c>
      <c r="E17" s="20" t="s">
        <v>529</v>
      </c>
    </row>
    <row r="19" spans="2:5" ht="19.5" customHeight="1" x14ac:dyDescent="0.45">
      <c r="B19" s="145" t="s">
        <v>530</v>
      </c>
      <c r="C19" s="138"/>
      <c r="D19" s="138"/>
      <c r="E19" s="138"/>
    </row>
    <row r="20" spans="2:5" ht="19.5" customHeight="1" x14ac:dyDescent="0.45">
      <c r="B20" s="25" t="s">
        <v>531</v>
      </c>
      <c r="C20" s="27">
        <f>C14</f>
        <v>1080</v>
      </c>
      <c r="D20" s="27">
        <f>D14</f>
        <v>1080</v>
      </c>
      <c r="E20" s="27">
        <f>E14</f>
        <v>1080</v>
      </c>
    </row>
    <row r="21" spans="2:5" ht="19.5" customHeight="1" x14ac:dyDescent="0.45">
      <c r="B21" s="16" t="s">
        <v>532</v>
      </c>
      <c r="C21" s="17">
        <v>7.0000000000000007E-2</v>
      </c>
      <c r="D21" s="17">
        <v>7.0000000000000007E-2</v>
      </c>
      <c r="E21" s="17">
        <v>7.0000000000000007E-2</v>
      </c>
    </row>
    <row r="22" spans="2:5" ht="19.5" customHeight="1" x14ac:dyDescent="0.45">
      <c r="B22" s="16" t="s">
        <v>533</v>
      </c>
      <c r="C22" s="23">
        <f>C20*C21</f>
        <v>75.600000000000009</v>
      </c>
      <c r="D22" s="23">
        <f>D20*D21</f>
        <v>75.600000000000009</v>
      </c>
      <c r="E22" s="23">
        <f>E20*E21</f>
        <v>75.600000000000009</v>
      </c>
    </row>
    <row r="23" spans="2:5" ht="19.5" customHeight="1" x14ac:dyDescent="0.45">
      <c r="B23" s="25" t="s">
        <v>534</v>
      </c>
      <c r="C23" s="26">
        <v>270</v>
      </c>
      <c r="D23" s="26">
        <v>270</v>
      </c>
      <c r="E23" s="26">
        <v>270</v>
      </c>
    </row>
    <row r="24" spans="2:5" ht="19.5" customHeight="1" x14ac:dyDescent="0.45">
      <c r="B24" s="19" t="s">
        <v>535</v>
      </c>
      <c r="C24" s="92">
        <f>C23/C22</f>
        <v>3.5714285714285712</v>
      </c>
      <c r="D24" s="92">
        <f>D23/D22</f>
        <v>3.5714285714285712</v>
      </c>
      <c r="E24" s="92">
        <f>E23/E22</f>
        <v>3.5714285714285712</v>
      </c>
    </row>
    <row r="25" spans="2:5" ht="19.5" customHeight="1" x14ac:dyDescent="0.45">
      <c r="B25" s="25" t="s">
        <v>536</v>
      </c>
      <c r="C25" s="93">
        <f>C20/C10</f>
        <v>4</v>
      </c>
      <c r="D25" s="93">
        <f>D20/D10</f>
        <v>4</v>
      </c>
      <c r="E25" s="93">
        <f>E20/E10</f>
        <v>4</v>
      </c>
    </row>
    <row r="27" spans="2:5" ht="19.5" customHeight="1" x14ac:dyDescent="0.45">
      <c r="B27" s="145" t="s">
        <v>537</v>
      </c>
      <c r="C27" s="138"/>
      <c r="D27" s="138"/>
      <c r="E27" s="138"/>
    </row>
    <row r="28" spans="2:5" ht="19.5" customHeight="1" x14ac:dyDescent="0.45">
      <c r="B28" s="25" t="s">
        <v>538</v>
      </c>
      <c r="C28" s="27">
        <f>C10*1.12^5</f>
        <v>475.83225446400013</v>
      </c>
      <c r="D28" s="27">
        <f>D10*1.12^5</f>
        <v>475.83225446400013</v>
      </c>
      <c r="E28" s="27">
        <f>E10*1.12^5</f>
        <v>475.83225446400013</v>
      </c>
    </row>
    <row r="29" spans="2:5" ht="19.5" customHeight="1" x14ac:dyDescent="0.45">
      <c r="B29" s="16" t="s">
        <v>539</v>
      </c>
      <c r="C29" s="94">
        <v>22</v>
      </c>
      <c r="D29" s="94">
        <v>22</v>
      </c>
      <c r="E29" s="94">
        <v>22</v>
      </c>
    </row>
    <row r="30" spans="2:5" ht="19.5" customHeight="1" x14ac:dyDescent="0.45">
      <c r="B30" s="14" t="s">
        <v>540</v>
      </c>
      <c r="C30" s="15">
        <f>C28*C29</f>
        <v>10468.309598208003</v>
      </c>
      <c r="D30" s="15">
        <f>D28*D29</f>
        <v>10468.309598208003</v>
      </c>
      <c r="E30" s="15">
        <f>E28*E29</f>
        <v>10468.309598208003</v>
      </c>
    </row>
    <row r="31" spans="2:5" ht="19.5" customHeight="1" x14ac:dyDescent="0.45">
      <c r="B31" s="16" t="s">
        <v>541</v>
      </c>
      <c r="C31" s="23">
        <f>C20*0.5</f>
        <v>540</v>
      </c>
      <c r="D31" s="23">
        <f>D20*0.5</f>
        <v>540</v>
      </c>
      <c r="E31" s="23">
        <f>E20*0.5</f>
        <v>540</v>
      </c>
    </row>
    <row r="32" spans="2:5" ht="19.5" customHeight="1" x14ac:dyDescent="0.45">
      <c r="B32" s="14" t="s">
        <v>542</v>
      </c>
      <c r="C32" s="15">
        <f>C30-C31</f>
        <v>9928.3095982080031</v>
      </c>
      <c r="D32" s="15">
        <f>D30-D31</f>
        <v>9928.3095982080031</v>
      </c>
      <c r="E32" s="15">
        <f>E30-E31</f>
        <v>9928.3095982080031</v>
      </c>
    </row>
    <row r="33" spans="2:5" ht="19.5" customHeight="1" x14ac:dyDescent="0.45">
      <c r="B33" s="16" t="s">
        <v>543</v>
      </c>
      <c r="C33" s="23">
        <f>C15</f>
        <v>3761</v>
      </c>
      <c r="D33" s="23">
        <f>D15</f>
        <v>2426</v>
      </c>
      <c r="E33" s="23">
        <f>E15</f>
        <v>1536</v>
      </c>
    </row>
    <row r="34" spans="2:5" ht="19.5" customHeight="1" x14ac:dyDescent="0.45">
      <c r="B34" s="19" t="s">
        <v>544</v>
      </c>
      <c r="C34" s="92">
        <f>C32/C33</f>
        <v>2.6398057958542949</v>
      </c>
      <c r="D34" s="92">
        <f>D32/D33</f>
        <v>4.09246067527123</v>
      </c>
      <c r="E34" s="92">
        <f>E32/E33</f>
        <v>6.463743228000002</v>
      </c>
    </row>
    <row r="35" spans="2:5" ht="19.5" customHeight="1" x14ac:dyDescent="0.45">
      <c r="B35" s="14" t="s">
        <v>545</v>
      </c>
      <c r="C35" s="36">
        <f>(C32/C33)^(1/5)-1</f>
        <v>0.21426756815288051</v>
      </c>
      <c r="D35" s="36">
        <f>(D32/D33)^(1/5)-1</f>
        <v>0.32555240799430307</v>
      </c>
      <c r="E35" s="36">
        <f>(E32/E33)^(1/5)-1</f>
        <v>0.45243537922419885</v>
      </c>
    </row>
    <row r="37" spans="2:5" ht="19.5" customHeight="1" x14ac:dyDescent="0.45">
      <c r="B37" s="145" t="s">
        <v>546</v>
      </c>
      <c r="C37" s="138"/>
      <c r="D37" s="138"/>
      <c r="E37" s="138"/>
    </row>
    <row r="38" spans="2:5" ht="131.25" customHeight="1" x14ac:dyDescent="0.45">
      <c r="B38" s="166" t="s">
        <v>547</v>
      </c>
      <c r="C38" s="138"/>
      <c r="D38" s="138"/>
      <c r="E38" s="138"/>
    </row>
  </sheetData>
  <mergeCells count="8">
    <mergeCell ref="B27:E27"/>
    <mergeCell ref="B1:E1"/>
    <mergeCell ref="B13:E13"/>
    <mergeCell ref="B38:E38"/>
    <mergeCell ref="B19:E19"/>
    <mergeCell ref="B37:E37"/>
    <mergeCell ref="B5:E5"/>
    <mergeCell ref="B2:E2"/>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4A235A"/>
  </sheetPr>
  <dimension ref="B1:D9"/>
  <sheetViews>
    <sheetView showGridLines="0" topLeftCell="A7" zoomScaleNormal="100" workbookViewId="0"/>
  </sheetViews>
  <sheetFormatPr defaultColWidth="8.6640625" defaultRowHeight="14.25" x14ac:dyDescent="0.45"/>
  <cols>
    <col min="1" max="1" width="3" customWidth="1"/>
    <col min="2" max="2" width="40" customWidth="1"/>
    <col min="3" max="3" width="20" customWidth="1"/>
    <col min="4" max="4" width="50" customWidth="1"/>
    <col min="5" max="5" width="3" customWidth="1"/>
  </cols>
  <sheetData>
    <row r="1" spans="2:4" ht="25.5" customHeight="1" x14ac:dyDescent="0.45">
      <c r="B1" s="147" t="s">
        <v>548</v>
      </c>
      <c r="C1" s="138"/>
      <c r="D1" s="138"/>
    </row>
    <row r="3" spans="2:4" ht="19.5" customHeight="1" x14ac:dyDescent="0.45">
      <c r="B3" s="3" t="s">
        <v>549</v>
      </c>
      <c r="C3" s="3" t="s">
        <v>550</v>
      </c>
      <c r="D3" s="3" t="s">
        <v>551</v>
      </c>
    </row>
    <row r="4" spans="2:4" ht="108.75" customHeight="1" x14ac:dyDescent="0.45">
      <c r="B4" s="95" t="s">
        <v>552</v>
      </c>
      <c r="C4" s="96" t="s">
        <v>553</v>
      </c>
      <c r="D4" s="97" t="s">
        <v>554</v>
      </c>
    </row>
    <row r="5" spans="2:4" ht="102.75" customHeight="1" x14ac:dyDescent="0.45">
      <c r="B5" s="98" t="s">
        <v>555</v>
      </c>
      <c r="C5" s="99" t="s">
        <v>556</v>
      </c>
      <c r="D5" s="100" t="s">
        <v>557</v>
      </c>
    </row>
    <row r="6" spans="2:4" ht="129.75" customHeight="1" x14ac:dyDescent="0.45">
      <c r="B6" s="98" t="s">
        <v>558</v>
      </c>
      <c r="C6" s="99" t="s">
        <v>559</v>
      </c>
      <c r="D6" s="100" t="s">
        <v>560</v>
      </c>
    </row>
    <row r="7" spans="2:4" ht="124.5" customHeight="1" x14ac:dyDescent="0.45">
      <c r="B7" s="98" t="s">
        <v>561</v>
      </c>
      <c r="C7" s="99" t="s">
        <v>562</v>
      </c>
      <c r="D7" s="100" t="s">
        <v>563</v>
      </c>
    </row>
    <row r="8" spans="2:4" ht="165.75" customHeight="1" x14ac:dyDescent="0.45">
      <c r="B8" s="95" t="s">
        <v>564</v>
      </c>
      <c r="C8" s="96" t="s">
        <v>565</v>
      </c>
      <c r="D8" s="97" t="s">
        <v>566</v>
      </c>
    </row>
    <row r="9" spans="2:4" ht="129.75" customHeight="1" x14ac:dyDescent="0.45">
      <c r="B9" s="101" t="s">
        <v>567</v>
      </c>
      <c r="C9" s="102" t="s">
        <v>568</v>
      </c>
      <c r="D9" s="103" t="s">
        <v>569</v>
      </c>
    </row>
  </sheetData>
  <mergeCells count="1">
    <mergeCell ref="B1:D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Assumptions</vt:lpstr>
      <vt:lpstr>Historical Financials</vt:lpstr>
      <vt:lpstr>Order Backlog Analysis</vt:lpstr>
      <vt:lpstr>Triton Exit Analysis</vt:lpstr>
      <vt:lpstr>DCF Model</vt:lpstr>
      <vt:lpstr>Comparable Companies</vt:lpstr>
      <vt:lpstr>Re-Privatisation LBO</vt:lpstr>
      <vt:lpstr>Geopolitical Risk</vt:lpstr>
      <vt:lpstr>DD Flags</vt:lpstr>
      <vt:lpstr>Investment Thesis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romanos valeontis</cp:lastModifiedBy>
  <cp:revision>0</cp:revision>
  <dcterms:created xsi:type="dcterms:W3CDTF">2026-05-20T15:12:09Z</dcterms:created>
  <dcterms:modified xsi:type="dcterms:W3CDTF">2026-05-22T03:28:35Z</dcterms:modified>
  <dc:language>en-US</dc:language>
</cp:coreProperties>
</file>