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oman\Desktop\Romanos-Site\Projects\Schroders\"/>
    </mc:Choice>
  </mc:AlternateContent>
  <xr:revisionPtr revIDLastSave="0" documentId="8_{1627A77A-D89B-41EB-950F-65140FE99D60}" xr6:coauthVersionLast="47" xr6:coauthVersionMax="47" xr10:uidLastSave="{00000000-0000-0000-0000-000000000000}"/>
  <bookViews>
    <workbookView xWindow="-98" yWindow="-98" windowWidth="28996" windowHeight="15675" tabRatio="500" xr2:uid="{00000000-000D-0000-FFFF-FFFF00000000}"/>
  </bookViews>
  <sheets>
    <sheet name="Cover" sheetId="1" r:id="rId1"/>
    <sheet name="Deal Summary" sheetId="2" r:id="rId2"/>
    <sheet name="Comps" sheetId="3" r:id="rId3"/>
    <sheet name="Precedents" sheetId="4" r:id="rId4"/>
    <sheet name="DCF" sheetId="5" r:id="rId5"/>
    <sheet name="Synergies" sheetId="6" r:id="rId6"/>
    <sheet name="Verdict" sheetId="7" r:id="rId7"/>
    <sheet name="Audit" sheetId="8" r:id="rId8"/>
  </sheets>
  <definedNames>
    <definedName name="DCF_NetCash">DCF!$C$25</definedName>
    <definedName name="DCF_Shares">DCF!$C$26</definedName>
    <definedName name="S_CAGR">DCF!$F$8</definedName>
    <definedName name="S_Exit">DCF!$F$12</definedName>
    <definedName name="S_Margin">DCF!$F$9</definedName>
    <definedName name="S_TermG">DCF!$F$11</definedName>
    <definedName name="S_WACC">DCF!$F$10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8" l="1"/>
  <c r="E18" i="6"/>
  <c r="C22" i="6" s="1"/>
  <c r="E17" i="6"/>
  <c r="E16" i="6"/>
  <c r="E15" i="6"/>
  <c r="E10" i="6"/>
  <c r="E9" i="6"/>
  <c r="E8" i="6"/>
  <c r="E7" i="6"/>
  <c r="E6" i="6"/>
  <c r="E11" i="6" s="1"/>
  <c r="C21" i="6" s="1"/>
  <c r="C23" i="6" s="1"/>
  <c r="E61" i="5"/>
  <c r="D61" i="5"/>
  <c r="E60" i="5"/>
  <c r="D60" i="5"/>
  <c r="C60" i="5"/>
  <c r="C61" i="5" s="1"/>
  <c r="C51" i="5"/>
  <c r="C49" i="5"/>
  <c r="C24" i="5"/>
  <c r="F12" i="5"/>
  <c r="F11" i="5"/>
  <c r="F10" i="5"/>
  <c r="F39" i="5" s="1"/>
  <c r="F9" i="5"/>
  <c r="F8" i="5"/>
  <c r="C30" i="5" s="1"/>
  <c r="J16" i="4"/>
  <c r="I16" i="4"/>
  <c r="L14" i="4"/>
  <c r="I13" i="4"/>
  <c r="I11" i="4"/>
  <c r="I10" i="4"/>
  <c r="I9" i="4"/>
  <c r="I8" i="4"/>
  <c r="J7" i="4"/>
  <c r="I7" i="4"/>
  <c r="J6" i="4"/>
  <c r="I6" i="4"/>
  <c r="I15" i="4" s="1"/>
  <c r="Q22" i="3"/>
  <c r="P22" i="3"/>
  <c r="O22" i="3"/>
  <c r="N22" i="3"/>
  <c r="M22" i="3"/>
  <c r="H22" i="3"/>
  <c r="F22" i="3"/>
  <c r="M21" i="3"/>
  <c r="F21" i="3"/>
  <c r="Q21" i="3" s="1"/>
  <c r="Q12" i="3"/>
  <c r="M12" i="3"/>
  <c r="F12" i="3"/>
  <c r="H12" i="3" s="1"/>
  <c r="Q11" i="3"/>
  <c r="P11" i="3"/>
  <c r="O11" i="3"/>
  <c r="N11" i="3"/>
  <c r="M11" i="3"/>
  <c r="H11" i="3"/>
  <c r="F11" i="3"/>
  <c r="M10" i="3"/>
  <c r="H10" i="3"/>
  <c r="P10" i="3" s="1"/>
  <c r="F10" i="3"/>
  <c r="Q10" i="3" s="1"/>
  <c r="M9" i="3"/>
  <c r="F9" i="3"/>
  <c r="H9" i="3" s="1"/>
  <c r="Q8" i="3"/>
  <c r="M8" i="3"/>
  <c r="F8" i="3"/>
  <c r="H8" i="3" s="1"/>
  <c r="M7" i="3"/>
  <c r="M17" i="3" s="1"/>
  <c r="F7" i="3"/>
  <c r="Q7" i="3" s="1"/>
  <c r="M6" i="3"/>
  <c r="M18" i="3" s="1"/>
  <c r="F6" i="3"/>
  <c r="H6" i="3" s="1"/>
  <c r="G19" i="2"/>
  <c r="C16" i="2"/>
  <c r="C6" i="8" s="1"/>
  <c r="G11" i="2"/>
  <c r="C9" i="2"/>
  <c r="C7" i="2"/>
  <c r="C17" i="2" s="1"/>
  <c r="C20" i="2" l="1"/>
  <c r="G18" i="2"/>
  <c r="C10" i="8" s="1"/>
  <c r="G17" i="2"/>
  <c r="C26" i="6"/>
  <c r="C28" i="6" s="1"/>
  <c r="C30" i="6" s="1"/>
  <c r="C24" i="6"/>
  <c r="C25" i="6" s="1"/>
  <c r="O9" i="3"/>
  <c r="N9" i="3"/>
  <c r="P9" i="3"/>
  <c r="N12" i="3"/>
  <c r="P12" i="3"/>
  <c r="O12" i="3"/>
  <c r="P6" i="3"/>
  <c r="N6" i="3"/>
  <c r="O6" i="3"/>
  <c r="C37" i="5"/>
  <c r="C35" i="5"/>
  <c r="C31" i="5"/>
  <c r="C33" i="5" s="1"/>
  <c r="C34" i="5" s="1"/>
  <c r="D30" i="5"/>
  <c r="C36" i="5"/>
  <c r="C32" i="5"/>
  <c r="O8" i="3"/>
  <c r="N8" i="3"/>
  <c r="P8" i="3"/>
  <c r="C10" i="2"/>
  <c r="C8" i="8" s="1"/>
  <c r="M13" i="3"/>
  <c r="M15" i="3"/>
  <c r="H21" i="3"/>
  <c r="Q6" i="3"/>
  <c r="I14" i="4"/>
  <c r="G39" i="5"/>
  <c r="Q9" i="3"/>
  <c r="H7" i="3"/>
  <c r="C7" i="8"/>
  <c r="C39" i="5"/>
  <c r="D39" i="5"/>
  <c r="M14" i="3"/>
  <c r="M16" i="3"/>
  <c r="E39" i="5"/>
  <c r="N10" i="3"/>
  <c r="O10" i="3"/>
  <c r="O21" i="3" l="1"/>
  <c r="P21" i="3"/>
  <c r="N21" i="3"/>
  <c r="D37" i="5"/>
  <c r="D35" i="5"/>
  <c r="D31" i="5"/>
  <c r="E30" i="5"/>
  <c r="D36" i="5"/>
  <c r="D32" i="5"/>
  <c r="Q17" i="3"/>
  <c r="Q13" i="3"/>
  <c r="Q15" i="3"/>
  <c r="Q18" i="3"/>
  <c r="Q16" i="3"/>
  <c r="Q14" i="3"/>
  <c r="Q23" i="3" s="1"/>
  <c r="P16" i="3"/>
  <c r="C38" i="5"/>
  <c r="C40" i="5" s="1"/>
  <c r="P7" i="3"/>
  <c r="P14" i="3" s="1"/>
  <c r="C11" i="8" s="1"/>
  <c r="O7" i="3"/>
  <c r="O17" i="3" s="1"/>
  <c r="N7" i="3"/>
  <c r="N18" i="3"/>
  <c r="N16" i="3"/>
  <c r="N14" i="3"/>
  <c r="N17" i="3"/>
  <c r="N15" i="3"/>
  <c r="N13" i="3"/>
  <c r="G16" i="2"/>
  <c r="G15" i="2"/>
  <c r="G14" i="2"/>
  <c r="C9" i="8" s="1"/>
  <c r="P18" i="3" l="1"/>
  <c r="O14" i="3"/>
  <c r="P15" i="3"/>
  <c r="P17" i="3"/>
  <c r="D33" i="5"/>
  <c r="D34" i="5" s="1"/>
  <c r="D38" i="5" s="1"/>
  <c r="D40" i="5" s="1"/>
  <c r="O15" i="3"/>
  <c r="N23" i="3"/>
  <c r="O16" i="3"/>
  <c r="P23" i="3"/>
  <c r="E37" i="5"/>
  <c r="E35" i="5"/>
  <c r="E31" i="5"/>
  <c r="F30" i="5"/>
  <c r="E36" i="5"/>
  <c r="E32" i="5"/>
  <c r="O18" i="3"/>
  <c r="P13" i="3"/>
  <c r="O13" i="3"/>
  <c r="O23" i="3"/>
  <c r="F37" i="5" l="1"/>
  <c r="F35" i="5"/>
  <c r="F31" i="5"/>
  <c r="G30" i="5"/>
  <c r="F36" i="5"/>
  <c r="F32" i="5"/>
  <c r="E33" i="5"/>
  <c r="E34" i="5" s="1"/>
  <c r="E38" i="5" s="1"/>
  <c r="E40" i="5" s="1"/>
  <c r="G37" i="5" l="1"/>
  <c r="G35" i="5"/>
  <c r="G31" i="5"/>
  <c r="G36" i="5"/>
  <c r="G32" i="5"/>
  <c r="F33" i="5"/>
  <c r="F34" i="5" s="1"/>
  <c r="F38" i="5" s="1"/>
  <c r="F40" i="5" s="1"/>
  <c r="C45" i="5" l="1"/>
  <c r="G33" i="5"/>
  <c r="G34" i="5" s="1"/>
  <c r="G38" i="5" s="1"/>
  <c r="C44" i="5" l="1"/>
  <c r="C46" i="5" s="1"/>
  <c r="C47" i="5" s="1"/>
  <c r="G40" i="5"/>
  <c r="C43" i="5" s="1"/>
  <c r="C48" i="5" s="1"/>
  <c r="C50" i="5" s="1"/>
  <c r="C52" i="5" s="1"/>
  <c r="C53" i="5" s="1"/>
  <c r="C12" i="8" l="1"/>
  <c r="C56" i="5"/>
</calcChain>
</file>

<file path=xl/sharedStrings.xml><?xml version="1.0" encoding="utf-8"?>
<sst xmlns="http://schemas.openxmlformats.org/spreadsheetml/2006/main" count="559" uniqueCount="503">
  <si>
    <t>M&amp;A ANALYSIS  —  BUY-SIDE PERSPECTIVE</t>
  </si>
  <si>
    <t>Nuveen / Schroders plc</t>
  </si>
  <si>
    <t>Was £9.9bn the right price to end 222 years of family ownership?</t>
  </si>
  <si>
    <t>A buy-side valuation, synergy and deal-returns assessment of Nuveen's recommended</t>
  </si>
  <si>
    <t>cash acquisition of Schroders plc, announced 12 February 2026.</t>
  </si>
  <si>
    <t xml:space="preserve">  HEADLINE TERMS</t>
  </si>
  <si>
    <t xml:space="preserve">  Offer price (cash + permitted dividends)</t>
  </si>
  <si>
    <t>612p</t>
  </si>
  <si>
    <t>590p cash + up to 22p dividends</t>
  </si>
  <si>
    <t xml:space="preserve">  Premium to unaffected (11 Feb 2026, 456p)</t>
  </si>
  <si>
    <t>29% on cash alone; 47% to 3-mth VWAP</t>
  </si>
  <si>
    <t xml:space="preserve">  Equity value (entire issued + to-be-issued)</t>
  </si>
  <si>
    <t>£9.9bn</t>
  </si>
  <si>
    <t>£9.5bn cash consideration</t>
  </si>
  <si>
    <t xml:space="preserve">  Implied EV / AUM (£823.7bn)</t>
  </si>
  <si>
    <t>vs ~1.0% traditional-AM control benchmark</t>
  </si>
  <si>
    <t xml:space="preserve">  Implied P / adj. operating profit (post-tax)</t>
  </si>
  <si>
    <t>~17.0x</t>
  </si>
  <si>
    <t>~13.1x pre-tax adj. operating profit</t>
  </si>
  <si>
    <t xml:space="preserve">  Combined group AUM</t>
  </si>
  <si>
    <t>~$2.5tn</t>
  </si>
  <si>
    <t>Nuveen $1.4tn + Schroders $1.1tn</t>
  </si>
  <si>
    <t xml:space="preserve">  VERDICT  (see Sheet 7)</t>
  </si>
  <si>
    <t>FULL PRICE, FAIR ON FUNDAMENTALS.  At ~17x post-tax earnings and a 34% premium, Nuveen paid a</t>
  </si>
  <si>
    <t>full but defensible price — squarely in line with traditional-AM control precedents (Franklin/Legg Mason,</t>
  </si>
  <si>
    <t>MS/Eaton Vance, Macquarie/Waddell &amp; Reed). Value hinges on ONE variable: AUM retention post-close.</t>
  </si>
  <si>
    <t>For the SELLER, 34% adequately compensated a structurally-challenged, sub-scale-vs-US active house.</t>
  </si>
  <si>
    <t xml:space="preserve">  CONTENTS  —  Click to navigate</t>
  </si>
  <si>
    <t>1.  Deal Summary</t>
  </si>
  <si>
    <t>Terms, structure, sources &amp; uses, value bridge</t>
  </si>
  <si>
    <t>2.  Trading Comps</t>
  </si>
  <si>
    <t>Listed AM peers — AUM/EV-AUM/EV-EBITDA/P-E/fee margin</t>
  </si>
  <si>
    <t>3.  Precedent Transactions</t>
  </si>
  <si>
    <t>8 AM control deals 2020-26 — EV/AUM &amp; premia</t>
  </si>
  <si>
    <t>4.  Standalone DCF</t>
  </si>
  <si>
    <t>3-scenario intrinsic value (Decline / Transition / Platform)</t>
  </si>
  <si>
    <t>5.  Synergy Analysis</t>
  </si>
  <si>
    <t>Bottom-up cost + revenue synergies; multiple-of-synergies</t>
  </si>
  <si>
    <t>6.  Deal Returns &amp; Verdict</t>
  </si>
  <si>
    <t>Acquirer IRR, value creation, the one variable</t>
  </si>
  <si>
    <t>7.  Audit &amp; Sources</t>
  </si>
  <si>
    <t>Traffic-light checks, source register, FX</t>
  </si>
  <si>
    <t xml:space="preserve">  PREPARED BY</t>
  </si>
  <si>
    <t xml:space="preserve">  Analyst</t>
  </si>
  <si>
    <t>Romanos Valeontis  |  FMVA, BIDA</t>
  </si>
  <si>
    <t xml:space="preserve">  Perspective</t>
  </si>
  <si>
    <t xml:space="preserve">  Valuation date</t>
  </si>
  <si>
    <t>29 May 2026</t>
  </si>
  <si>
    <t xml:space="preserve">  Announcement</t>
  </si>
  <si>
    <t>12 February 2026  |  Expected close Q4 2026</t>
  </si>
  <si>
    <t xml:space="preserve">  Reporting currency</t>
  </si>
  <si>
    <t>GBP (£); peers shown in native ccy, FX noted on Audit</t>
  </si>
  <si>
    <t>Disclaimer:  Independent analysis for educational and illustrative purposes. Not investment advice, not a recommendation, and not connected to Nuveen, TIAA or Schroders. Deal terms from the public Rule 2.7 announcement; peer and precedent figures from company filings, results releases and market data (~May 2026), with estimates flagged in source columns. Synergy estimates are the author's own — the announcement disclosed no quantified synergies.</t>
  </si>
  <si>
    <t>© R. Valeontis  |  Portfolio Case Study #8  |  Nuveen / Schroders M&amp;A  |  v1.0</t>
  </si>
  <si>
    <t xml:space="preserve">  DEAL SUMMARY  —  Nuveen's Recommended Cash Acquisition of Schroders plc</t>
  </si>
  <si>
    <t>All figures £ unless stated.  Blue = input/source figure · Black = calculation · Green = cross-sheet link.</t>
  </si>
  <si>
    <t xml:space="preserve">  TRANSACTION TERMS</t>
  </si>
  <si>
    <t xml:space="preserve">  IMPLIED VALUATION MULTIPLES</t>
  </si>
  <si>
    <t>Cash consideration per share (p)</t>
  </si>
  <si>
    <t>Rule 2.7 announcement, 12 Feb 2026</t>
  </si>
  <si>
    <t>Schroders FY25 AUM (£bn)</t>
  </si>
  <si>
    <t>Permitted dividends per share (p)</t>
  </si>
  <si>
    <t>Up to 22p pre-completion</t>
  </si>
  <si>
    <t>FY25 net operating revenue (£m)</t>
  </si>
  <si>
    <t>Total offer value per share (p)</t>
  </si>
  <si>
    <t>Cash + permitted dividends</t>
  </si>
  <si>
    <t>FY25 adj. net operating income (£m)</t>
  </si>
  <si>
    <t>Unaffected price 11 Feb 2026 (p)</t>
  </si>
  <si>
    <t>Close before announcement</t>
  </si>
  <si>
    <t>FY25 adj. operating profit (£m)</t>
  </si>
  <si>
    <t>Premium — cash only</t>
  </si>
  <si>
    <t>590p vs 456p</t>
  </si>
  <si>
    <t>FY25 profit before tax (£m)</t>
  </si>
  <si>
    <t>Premium — incl. dividends</t>
  </si>
  <si>
    <t>612p vs 456p</t>
  </si>
  <si>
    <t>Est. effective tax rate</t>
  </si>
  <si>
    <t>Premium — to 3-month VWAP</t>
  </si>
  <si>
    <t>Per announcement</t>
  </si>
  <si>
    <t>Est. adj. op. profit after tax (£m)</t>
  </si>
  <si>
    <t>Premium — to 12-month VWAP</t>
  </si>
  <si>
    <t xml:space="preserve">  OFFER IMPLIES</t>
  </si>
  <si>
    <t xml:space="preserve">  EQUITY VALUE &amp; ENTERPRISE VALUE</t>
  </si>
  <si>
    <t>EV / AUM</t>
  </si>
  <si>
    <t>vs ~1.0% traditional-AM benchmark</t>
  </si>
  <si>
    <t>Shares — issued &amp; to-be-issued (m)</t>
  </si>
  <si>
    <t>£9.5bn cash ÷ 590p ≈ 1,610m</t>
  </si>
  <si>
    <t>EV / FY25 net op. revenue</t>
  </si>
  <si>
    <t>Fee-revenue multiple</t>
  </si>
  <si>
    <t>Equity value — cash consideration (£m)</t>
  </si>
  <si>
    <t>590p × shares</t>
  </si>
  <si>
    <t>EV / FY25 adj. operating profit</t>
  </si>
  <si>
    <t>Pre-tax operating multiple</t>
  </si>
  <si>
    <t>Equity value — incl. dividends (£m)</t>
  </si>
  <si>
    <t>612p × shares ≈ £9.9bn</t>
  </si>
  <si>
    <t>P / FY25 PBT</t>
  </si>
  <si>
    <t>On statutory PBT</t>
  </si>
  <si>
    <t>(+) Total debt / Tier 2 notes (£m)</t>
  </si>
  <si>
    <t>AM is asset-light; net cash position</t>
  </si>
  <si>
    <t>P / adj. op. profit after tax</t>
  </si>
  <si>
    <t>≈ headline ~17x</t>
  </si>
  <si>
    <t>(–) Cash &amp; financial assets (£m)</t>
  </si>
  <si>
    <t>Treated neutral (reg capital ring-fenced)</t>
  </si>
  <si>
    <t>Implied fee yield on AUM (rev/AUM)</t>
  </si>
  <si>
    <t>Blended ~30bps</t>
  </si>
  <si>
    <t>Enterprise value ≈ equity value (£m)</t>
  </si>
  <si>
    <t>EV≈equity for asset-light AM</t>
  </si>
  <si>
    <t xml:space="preserve">  DEAL STRUCTURE &amp; KEY FEATURES</t>
  </si>
  <si>
    <t>Structure</t>
  </si>
  <si>
    <t>Court-sanctioned scheme of arrangement (UK Takeover Code Rule 2.7); 100% cash</t>
  </si>
  <si>
    <t>Acquirer / vehicle</t>
  </si>
  <si>
    <t>Nuveen LLC (a TIAA company, $1.4tn AUM) via Pantheon, LLC (wholly-owned bid vehicle)</t>
  </si>
  <si>
    <t>Consideration mix</t>
  </si>
  <si>
    <t>All-cash: 590p/share + up to 22p permitted dividends retained = 612p total</t>
  </si>
  <si>
    <t>Principal shareholder support</t>
  </si>
  <si>
    <t>~41% irrevocable undertakings from 4 Schroder family Principal Shareholder Group Trustee Companies (~42% incl. directors)</t>
  </si>
  <si>
    <t>Conditions</t>
  </si>
  <si>
    <t>Schroders shareholder approval (75% scheme vote) + antitrust / regulatory clearances</t>
  </si>
  <si>
    <t>Expected timing</t>
  </si>
  <si>
    <t>Announced 12 Feb 2026; expected to complete Q4 2026</t>
  </si>
  <si>
    <t>Post-close operating model</t>
  </si>
  <si>
    <t>Schroders runs standalone within Nuveen for ≥12 months; brand retained; London = non-US HQ (3,100+ staff)</t>
  </si>
  <si>
    <t>Management</t>
  </si>
  <si>
    <t>Richard Oldfield continues as Schroders CEO, reporting to William Huffman (Nuveen CEO); Dame Elizabeth Corley = Chair</t>
  </si>
  <si>
    <t>Optionality</t>
  </si>
  <si>
    <t>Nuveen indicated LSE would be a listing venue if a future IPO of the combined group is pursued</t>
  </si>
  <si>
    <t>Advisers</t>
  </si>
  <si>
    <t>BNP Paribas (financial) and Clifford Chance (legal) to Nuveen</t>
  </si>
  <si>
    <t xml:space="preserve">  STRATEGIC RATIONALE  —  THE 'PUBLIC-TO-PRIVATE PLATFORM' THESIS</t>
  </si>
  <si>
    <t>•  Geographic fill: Schroders is 47% UK / 12% Americas; Nuveen is US-centric. Each plugs the other's biggest gap.</t>
  </si>
  <si>
    <t>•  Public-to-private: combine Schroders' £72.6bn private markets + Nuveen's real assets/credit → $414bn combined private AUM.</t>
  </si>
  <si>
    <t>•  Scale economics: a ~$2.5tn platform spreads fixed tech/regulatory/distribution cost over a far larger base amid fee compression.</t>
  </si>
  <si>
    <t>•  Distribution: Nuveen's US retail/retirement (TIAA) reach × Schroders' EMEA/Asia institutional and wealth networks.</t>
  </si>
  <si>
    <t>•  Permanent capital: TIAA's balance sheet removes Schroders' public-market quarterly scrutiny during a multi-year transformation.</t>
  </si>
  <si>
    <t xml:space="preserve">  TRADING COMPARABLES  —  Listed Asset Managers  (data ~May 2026; FY2025 actuals)</t>
  </si>
  <si>
    <t>Native currency per row (see ccy col); multiples are currency-neutral. EBITDA proxied by adjusted operating profit (AM is asset-light, minimal D&amp;A). Blue = sourced input · Black = calculation.</t>
  </si>
  <si>
    <t xml:space="preserve">  IDENTITY &amp; MARKET DATA (native ccy)</t>
  </si>
  <si>
    <t xml:space="preserve">  CAPITAL &amp; FUNDAMENTALS (FY2025)</t>
  </si>
  <si>
    <t xml:space="preserve">  TRADING MULTIPLES</t>
  </si>
  <si>
    <t>Company</t>
  </si>
  <si>
    <t>Ccy</t>
  </si>
  <si>
    <t>Share price</t>
  </si>
  <si>
    <t>Shares (m)</t>
  </si>
  <si>
    <t>Mkt cap (m)</t>
  </si>
  <si>
    <t>Net debt/(cash) (m)</t>
  </si>
  <si>
    <t>EV (m)</t>
  </si>
  <si>
    <t>AUM (bn)</t>
  </si>
  <si>
    <t>Revenue (m)</t>
  </si>
  <si>
    <t>Adj op profit (m)</t>
  </si>
  <si>
    <t>Net income (m)</t>
  </si>
  <si>
    <t>Fee yield</t>
  </si>
  <si>
    <t>EV/AUM</t>
  </si>
  <si>
    <t>EV/Rev</t>
  </si>
  <si>
    <t>EV/EBITDA</t>
  </si>
  <si>
    <t>P/E</t>
  </si>
  <si>
    <t>Amundi</t>
  </si>
  <si>
    <t>EUR</t>
  </si>
  <si>
    <t>FY25 results 3 Feb'26; price/mcap Stockopedia 19 May'26</t>
  </si>
  <si>
    <t>DWS Group</t>
  </si>
  <si>
    <t>FY25 results 29 Jan'26; price Investing.com Apr-May'26; DB owns 79.5%</t>
  </si>
  <si>
    <t>Aberdeen (abrdn)</t>
  </si>
  <si>
    <t>GBP</t>
  </si>
  <si>
    <t>FY25 results 3 Mar'26; price ~Apr-May'26 (AUMA incl. ii platform)</t>
  </si>
  <si>
    <t>Man Group</t>
  </si>
  <si>
    <t>USD</t>
  </si>
  <si>
    <t>FY25 results 26 Feb'26; px 262p×~1.35; alt manager (higher fee)</t>
  </si>
  <si>
    <t>Jupiter FM</t>
  </si>
  <si>
    <t>FY25 results 26 Feb'26; px 156p 15 May'26; pre-CCLA</t>
  </si>
  <si>
    <t>Liontrust AM</t>
  </si>
  <si>
    <t>px 265p 6 May'26; AUM declining; micro-cap</t>
  </si>
  <si>
    <t>Polar Capital</t>
  </si>
  <si>
    <t>AIM; AUM Mar'25 £21.4bn; px ~562p; net cash heavy</t>
  </si>
  <si>
    <t>Mean</t>
  </si>
  <si>
    <t>Median</t>
  </si>
  <si>
    <t>25th percentile</t>
  </si>
  <si>
    <t>75th percentile</t>
  </si>
  <si>
    <t>High</t>
  </si>
  <si>
    <t>Low</t>
  </si>
  <si>
    <t xml:space="preserve">  TARGET  —  SCHRODERS (at offer vs at unaffected)</t>
  </si>
  <si>
    <t>Schroders — AT OFFER (612p)</t>
  </si>
  <si>
    <t>At offer 612p; net income = adj op profit x (1-23%) = 582.6 for clean P/E</t>
  </si>
  <si>
    <t>Schroders — UNAFFECTED (456p)</t>
  </si>
  <si>
    <t>Offer premium / (disc.) to peer median</t>
  </si>
  <si>
    <t>Reading the table:</t>
  </si>
  <si>
    <t>•  Median (gold) is the primary statistic per IB convention. Man Group is an alternatives manager (≈62bps fee, higher multiple) — treat as upper anchor; Amundi/DWS are the cleanest large-cap traditional comparables.</t>
  </si>
  <si>
    <t>•  Schroders at the 612p offer is valued RICH vs the listed peer set on every metric — but the peer set itself trades at distressed multiples (the whole sector is de-rated). At 456p unaffected, Schroders screened cheap to peers.</t>
  </si>
  <si>
    <t>•  EV/AUM understates the headline because Schroders' mix is ~16% near-zero-fee core solutions and 14% low-fee multi-asset; on fee-earning revenue (EV/Rev) the offer is a fuller ~3.9x.</t>
  </si>
  <si>
    <t>•  abrdn's AUMA includes the interactive investor platform (lower-margin), depressing its fee yield and EV/AUM — not a like-for-like active manager.</t>
  </si>
  <si>
    <t xml:space="preserve">  PRECEDENT TRANSACTIONS  —  Asset-Management Control Deals, 2020–2026</t>
  </si>
  <si>
    <t>Consideration in deal currency (mostly US$). EV/AUM on announced enterprise value ÷ target AUM. Premium = offer vs last undisturbed price. 'Type': S = strategic, F = financial/sponsor.</t>
  </si>
  <si>
    <t xml:space="preserve">  TRANSACTION</t>
  </si>
  <si>
    <t xml:space="preserve">  CONSIDERATION</t>
  </si>
  <si>
    <t xml:space="preserve">  MULTIPLES &amp; PREMIUM</t>
  </si>
  <si>
    <t>Announced</t>
  </si>
  <si>
    <t>Acquirer</t>
  </si>
  <si>
    <t>Target</t>
  </si>
  <si>
    <t>Type</t>
  </si>
  <si>
    <t>Target AUM ($bn)</t>
  </si>
  <si>
    <t>Equity value ($m)</t>
  </si>
  <si>
    <t>EV ($m)</t>
  </si>
  <si>
    <t>Premium</t>
  </si>
  <si>
    <t>Feb 2020</t>
  </si>
  <si>
    <t>Franklin Resources</t>
  </si>
  <si>
    <t>Legg Mason</t>
  </si>
  <si>
    <t>S</t>
  </si>
  <si>
    <t>n/d</t>
  </si>
  <si>
    <t>$50/sh cash; +~$2bn debt assumed; LM AUM $688bn</t>
  </si>
  <si>
    <t>Oct 2020</t>
  </si>
  <si>
    <t>Morgan Stanley</t>
  </si>
  <si>
    <t>Eaton Vance</t>
  </si>
  <si>
    <t>$28.25 cash+0.5833 MS sh; EV AUM $500bn+; ~38% prem</t>
  </si>
  <si>
    <t>Dec 2020</t>
  </si>
  <si>
    <t>Macquarie AM</t>
  </si>
  <si>
    <t>Waddell &amp; Reed</t>
  </si>
  <si>
    <t>$25/sh cash; net of W&amp;R cash EV≈$0.7bn; 48% prem</t>
  </si>
  <si>
    <t>Jan 2024</t>
  </si>
  <si>
    <t>BlackRock</t>
  </si>
  <si>
    <t>Global Infra Partners (GIP)</t>
  </si>
  <si>
    <t>$3bn cash+12m BLK sh; infra alt — UPPER bound ~12% AUM</t>
  </si>
  <si>
    <t>Nov 2024</t>
  </si>
  <si>
    <t>HPS Investment Partners</t>
  </si>
  <si>
    <t>~$12bn stock; private credit platform (alt)</t>
  </si>
  <si>
    <t>Apr 2025</t>
  </si>
  <si>
    <t>Nomura</t>
  </si>
  <si>
    <t>Macquarie US &amp; EU public AM</t>
  </si>
  <si>
    <t>$1.8bn cash; clean traditional benchmark ~1.0% AUM</t>
  </si>
  <si>
    <t>Brookfield</t>
  </si>
  <si>
    <t>Angel Oak</t>
  </si>
  <si>
    <t>Undisclosed; mortgage/structured credit; likely &gt;3% AUM</t>
  </si>
  <si>
    <t>Monex</t>
  </si>
  <si>
    <t>Westfield Capital (20%)</t>
  </si>
  <si>
    <t>$103m for 20% → grossed-up ~$0.5bn; growth equity ~2.4%</t>
  </si>
  <si>
    <t>Median (traditional deals)</t>
  </si>
  <si>
    <t>Mean (all w/ disclosed EV/AUM)</t>
  </si>
  <si>
    <t>Feb 2026</t>
  </si>
  <si>
    <t>Nuveen</t>
  </si>
  <si>
    <t>Schroders plc</t>
  </si>
  <si>
    <t>n/a</t>
  </si>
  <si>
    <t>£9.9bn ($13.4bn) cash; 34% premium; this transaction</t>
  </si>
  <si>
    <t xml:space="preserve">  WHAT THE PRECEDENTS SAY ABOUT THE SCHRODERS PRICE</t>
  </si>
  <si>
    <t>•  At ~1.20% EV/AUM, Nuveen paid slightly above the ~1.0% clean traditional benchmark (Nomura/Macquarie 2025, Franklin/Legg Mason ~0.95%) but far below alt-platform deals (BlackRock/GIP ~12%, HPS/Brookfield 3%+).</t>
  </si>
  <si>
    <t>•  That is exactly right for the asset mix: Schroders is mostly traditional active (equities/fixed income/multi-asset) with only ~10% private markets — so it should clear near the traditional band, with a modest premium for its £72.6bn private franchise and global brand.</t>
  </si>
  <si>
    <t>•  The 34% control premium sits inside the precedent range (MS/Eaton Vance ~38%, Macquarie/Waddell &amp; Reed ~48%, Franklin/Legg Mason mid-30s%). Nothing about the premium is aggressive.</t>
  </si>
  <si>
    <t>•  Conclusion: on precedent, the price is FAIR-to-FULL for a traditional house — neither a steal nor an overpay. The acquirer is paying for scale and a public-to-private runway, not for a cheap entry multiple.</t>
  </si>
  <si>
    <t xml:space="preserve">  STANDALONE DCF  —  Schroders plc Intrinsic Value (pre-deal, 3 scenarios)</t>
  </si>
  <si>
    <t>Unlevered FCF to firm. £m. Tests whether the 612p offer is generous vs Schroders' own intrinsic value. Blue = input · Black = calc · Toggle scenario in cell C5.</t>
  </si>
  <si>
    <t xml:space="preserve">  SCENARIO SELECTOR &amp; ASSUMPTION SETS</t>
  </si>
  <si>
    <t>Active scenario  →</t>
  </si>
  <si>
    <t>Transition</t>
  </si>
  <si>
    <t>← Type: Decline / Transition / Platform (drives all blue-linked assumptions below)</t>
  </si>
  <si>
    <t>Assumption</t>
  </si>
  <si>
    <t>Decline</t>
  </si>
  <si>
    <t>Platform</t>
  </si>
  <si>
    <t>ACTIVE</t>
  </si>
  <si>
    <t>Rationale</t>
  </si>
  <si>
    <t>Revenue CAGR (Y1–5)</t>
  </si>
  <si>
    <t>A: continued outflows &amp; fee compression; B: transformation stabilises; C: private-markets scaling</t>
  </si>
  <si>
    <t>Terminal EBITDA margin (adj op)</t>
  </si>
  <si>
    <t>FY25 actual 30.2% (756.6/2,504). &lt;70% cost/income target → ~30%+</t>
  </si>
  <si>
    <t>WACC</t>
  </si>
  <si>
    <t>AM beta ~1.2; higher in decline (risk), lower in platform (de-risked)</t>
  </si>
  <si>
    <t>Terminal growth (g)</t>
  </si>
  <si>
    <t>Long-run nominal AM growth; capped well below WACC</t>
  </si>
  <si>
    <t>Exit EV/EBITDA multiple</t>
  </si>
  <si>
    <t>Traditional EU AM trades 7-10x; platform re-rate to ~11x</t>
  </si>
  <si>
    <t xml:space="preserve">  BASE INPUTS &amp; WACC BUILD</t>
  </si>
  <si>
    <t>Schroders FY25</t>
  </si>
  <si>
    <t>FY25 adj operating profit (£m)</t>
  </si>
  <si>
    <t>Schroders FY25 (margin 30.2%)</t>
  </si>
  <si>
    <t>Tax rate</t>
  </si>
  <si>
    <t>UK effective</t>
  </si>
  <si>
    <t>D&amp;A as % revenue</t>
  </si>
  <si>
    <t>Asset-light</t>
  </si>
  <si>
    <t>Capex as % revenue</t>
  </si>
  <si>
    <t>Tech/platform spend</t>
  </si>
  <si>
    <t>Δ NWC as % revenue</t>
  </si>
  <si>
    <t>Minimal working capital</t>
  </si>
  <si>
    <t>Risk-free rate (10Y gilt)</t>
  </si>
  <si>
    <t>~May 2026</t>
  </si>
  <si>
    <t>Equity risk premium</t>
  </si>
  <si>
    <t>Damodaran 2026</t>
  </si>
  <si>
    <t>Levered beta</t>
  </si>
  <si>
    <t>AM sector ~1.2</t>
  </si>
  <si>
    <t>Cost of equity (CAPM)</t>
  </si>
  <si>
    <t>Rf + β×ERP</t>
  </si>
  <si>
    <t>Net cash / (debt) (£m)</t>
  </si>
  <si>
    <t>AM asset-light; treat neutral</t>
  </si>
  <si>
    <t>Shares outstanding (m)</t>
  </si>
  <si>
    <t>Issued &amp; to-be-issued</t>
  </si>
  <si>
    <t xml:space="preserve">  UNLEVERED FREE CASH FLOW (FCFF)  —  active scenario</t>
  </si>
  <si>
    <t>£m</t>
  </si>
  <si>
    <t>2026E</t>
  </si>
  <si>
    <t>2027E</t>
  </si>
  <si>
    <t>2028E</t>
  </si>
  <si>
    <t>2029E</t>
  </si>
  <si>
    <t>2030E</t>
  </si>
  <si>
    <t>Net operating revenue</t>
  </si>
  <si>
    <t>Adj. operating profit (EBITDA proxy)</t>
  </si>
  <si>
    <t>(–) D&amp;A</t>
  </si>
  <si>
    <t>EBIT</t>
  </si>
  <si>
    <t>NOPAT  = EBIT × (1−tax)</t>
  </si>
  <si>
    <t>(+) D&amp;A</t>
  </si>
  <si>
    <t>(–) Capex</t>
  </si>
  <si>
    <t>(–) Δ NWC</t>
  </si>
  <si>
    <t>FCFF (unlevered)</t>
  </si>
  <si>
    <t>Discount factor @ WACC</t>
  </si>
  <si>
    <t>PV of FCFF</t>
  </si>
  <si>
    <t xml:space="preserve">  ENTERPRISE → EQUITY → PER-SHARE VALUE</t>
  </si>
  <si>
    <t>Sum of PV of FCFF (Y1–5)</t>
  </si>
  <si>
    <t>Terminal value — Gordon growth</t>
  </si>
  <si>
    <t>Terminal value — exit multiple</t>
  </si>
  <si>
    <t>Terminal value — average</t>
  </si>
  <si>
    <t>PV of terminal value</t>
  </si>
  <si>
    <t>Enterprise value</t>
  </si>
  <si>
    <t>(+) Net cash / (–) debt</t>
  </si>
  <si>
    <t>Equity value (£m)</t>
  </si>
  <si>
    <t>÷ Shares (m)</t>
  </si>
  <si>
    <t>Implied value per share (£)</t>
  </si>
  <si>
    <t>Implied value per share (p)</t>
  </si>
  <si>
    <t>Offer price (612p)</t>
  </si>
  <si>
    <t>Offer premium / (disc.) to DCF value</t>
  </si>
  <si>
    <t xml:space="preserve">  SCENARIO SUMMARY  —  implied value per share by scenario</t>
  </si>
  <si>
    <t>Per-share value (p)</t>
  </si>
  <si>
    <t>Offer (612p) premium to scenario</t>
  </si>
  <si>
    <t xml:space="preserve">  DCF READ-THROUGH</t>
  </si>
  <si>
    <t>•  In the Decline case, Schroders is worth well below the 456p unaffected price — the offer looks very generous.</t>
  </si>
  <si>
    <t>•  In the Transition case (management's plan delivering, ~31% margin), intrinsic value lands close to the unaffected-to-mid range; the 34% premium is real money for sellers.</t>
  </si>
  <si>
    <t>•  Only in the Platform case (private-markets scaling, margin to 35%, re-rate to 11x) does standalone value exceed the offer — i.e. Nuveen is essentially paying Schroders' bull case in cash, today, with execution risk transferred to the buyer.</t>
  </si>
  <si>
    <t>•  Net: the offer brackets the upper half of the standalone range. For shareholders, taking 612p cash crystallises the bull case without bearing the execution risk — a rational accept.</t>
  </si>
  <si>
    <t xml:space="preserve">  SYNERGY ANALYSIS  —  Author's bottom-up estimate  (NONE disclosed in announcement)</t>
  </si>
  <si>
    <t>The Rule 2.7 announcement disclosed NO quantified synergies — only qualitative language. All figures below are the author's own estimates, built bottom-up and benchmarked to AM-deal norms. £m. Blue = assumption.</t>
  </si>
  <si>
    <t xml:space="preserve">  COST SYNERGIES  (run-rate, pre-tax)</t>
  </si>
  <si>
    <t>Source</t>
  </si>
  <si>
    <t>Basis (£m)</t>
  </si>
  <si>
    <t>% saved</t>
  </si>
  <si>
    <t>Synergy (£m)</t>
  </si>
  <si>
    <t>Overlapping corporate / G&amp;A (finance, HR, legal)</t>
  </si>
  <si>
    <t>Dedup public-co listing, board, group functions</t>
  </si>
  <si>
    <t>Technology &amp; operations platform</t>
  </si>
  <si>
    <t>Shared data/cloud, UST partnership leverage</t>
  </si>
  <si>
    <t>Distribution &amp; marketing overlap</t>
  </si>
  <si>
    <t>Combined brand/marketing spend</t>
  </si>
  <si>
    <t>Investment management dedup (minimal)</t>
  </si>
  <si>
    <t>Comp base; deliberately low — talent retention critical</t>
  </si>
  <si>
    <t>Premises &amp; vendor procurement</t>
  </si>
  <si>
    <t>Real estate footprint, supplier consolidation</t>
  </si>
  <si>
    <t>Total cost synergies (run-rate)</t>
  </si>
  <si>
    <t xml:space="preserve">  REVENUE SYNERGIES  (run-rate, net operating revenue)</t>
  </si>
  <si>
    <t>AUM/rev base</t>
  </si>
  <si>
    <t>Uplift</t>
  </si>
  <si>
    <t>Schroders product into Nuveen US distribution</t>
  </si>
  <si>
    <t>1.5% of AM AUM (£bn) at ~30bps → cross-sell</t>
  </si>
  <si>
    <t>Nuveen private/real-asset product into EMEA/Asia</t>
  </si>
  <si>
    <t>£200bn reachable × incremental fee</t>
  </si>
  <si>
    <t>Wealth cross-referral (Cazenove × TIAA)</t>
  </si>
  <si>
    <t>1% of wealth AUM at ~40bps</t>
  </si>
  <si>
    <t>Total revenue synergies (gross rev)</t>
  </si>
  <si>
    <t xml:space="preserve">  CAPITALISED VALUE OF SYNERGIES &amp; PRICE CHECK</t>
  </si>
  <si>
    <t>Total cost synergies (run-rate, £m)</t>
  </si>
  <si>
    <t>Revenue synergies → operating profit (@ 40% margin)</t>
  </si>
  <si>
    <t>Total pre-tax synergy EBITDA (£m)</t>
  </si>
  <si>
    <t>(–) Tax @ 23%</t>
  </si>
  <si>
    <t>After-tax run-rate synergies (£m)</t>
  </si>
  <si>
    <t>Capitalised @ 11x (peer EV/EBITDA)</t>
  </si>
  <si>
    <t>(–) Estimated integration / restructuring cost (one-off)</t>
  </si>
  <si>
    <t>Net synergy value created (£m)</t>
  </si>
  <si>
    <t>Premium paid over unaffected (£m)</t>
  </si>
  <si>
    <t>Synergy value ÷ premium paid (×)</t>
  </si>
  <si>
    <t xml:space="preserve">  INTERPRETATION</t>
  </si>
  <si>
    <t>•  On these (deliberately conservative) assumptions, run-rate pre-tax synergies of ~£120-150m capitalise to roughly £1.3-1.6bn gross, ~£0.9-1.2bn net of integration cost.</t>
  </si>
  <si>
    <t>•  The premium Nuveen paid over the unaffected price is ~£1.9bn (34% × ~£5.5bn unaffected equity ≈ £1.9bn). So synergies cover roughly HALF to TWO-THIRDS of the premium.</t>
  </si>
  <si>
    <t>•  That gap is the crux: unless revenue synergies (cross-distribution) materially exceed this base case, Nuveen is paying for strategic optionality and scale, not for synergies that fully fund the premium.</t>
  </si>
  <si>
    <t>•  Cost synergies are kept low on the investment-management line ON PURPOSE: cutting investment talent destroys the AUM that justifies the deal. This is the central integration tension.</t>
  </si>
  <si>
    <t>•  Sensitivity: each +£25m of run-rate synergy adds ~£275m (11x) of value — about 0.15x of premium coverage. Revenue synergies are the swing factor and the hardest to bank.</t>
  </si>
  <si>
    <t xml:space="preserve">  DEAL RETURNS &amp; VERDICT</t>
  </si>
  <si>
    <t xml:space="preserve">  THE VERDICT</t>
  </si>
  <si>
    <t>FULL PRICE — FAIR, NOT A STEAL, NOT AN EGREGIOUS OVERPAY</t>
  </si>
  <si>
    <t>ACQUIRER (Nuveen): paid ~17x post-tax earnings / ~1.20% of AUM / 34% premium. Defensible vs precedent, but synergies cover only ~half-to-two-thirds of the premium — so this is a STRATEGIC purchase of scale and a public-to-private runway, not a value buy. Verdict: FAIR PRICE, success depends entirely on AUM retention + revenue-synergy delivery.</t>
  </si>
  <si>
    <t>SELLER (Schroders shareholders &amp; family): 34% in cash crystallises the standalone BULL case today, with execution and market risk transferred to the buyer, ending 222 years of family ownership at a premium. Verdict: ADEQUATE-TO-GOOD — a rational accept, especially for the family seeking liquidity and de-risking.</t>
  </si>
  <si>
    <t>OVERALL: a sensible deal at a sensible price. Neither side 'won' decisively. The economics are balanced — which is why the board could unanimously recommend it and the family could sign irrevocables without controversy.</t>
  </si>
  <si>
    <t xml:space="preserve">  VALUATION TRIANGULATION  —  where 612p sits</t>
  </si>
  <si>
    <t>Methodology</t>
  </si>
  <si>
    <t>Low (p)</t>
  </si>
  <si>
    <t>High (p)</t>
  </si>
  <si>
    <t>Offer vs range</t>
  </si>
  <si>
    <t>Unaffected market price</t>
  </si>
  <si>
    <t>anchor</t>
  </si>
  <si>
    <t>Trading comps (peer median multiples)</t>
  </si>
  <si>
    <t>above-mid</t>
  </si>
  <si>
    <t>Standalone DCF (Decline → Platform)</t>
  </si>
  <si>
    <t>upper half</t>
  </si>
  <si>
    <t>Precedent transactions (0.9–1.5% AUM)</t>
  </si>
  <si>
    <t>mid</t>
  </si>
  <si>
    <t>Analyst PTs post-deal (RBC 610)</t>
  </si>
  <si>
    <t>at/just below</t>
  </si>
  <si>
    <t>OFFER (612p incl. dividends)</t>
  </si>
  <si>
    <t>top quartile</t>
  </si>
  <si>
    <t xml:space="preserve">  THE ONE THING THAT DETERMINES EVERYTHING</t>
  </si>
  <si>
    <t>AUM RETENTION POST-CLOSE.</t>
  </si>
  <si>
    <t>Asset-management M&amp;A lives or dies on whether clients and portfolio managers stay. Every metric in this model — synergies, returns, the premium's justification — assumes Schroders' £823.7bn AUM is broadly retained.</t>
  </si>
  <si>
    <t>Rule of thumb: if the combined entity loses &gt;10% of Schroders' AUM in the 12 months after close (key-person departures, mandate reviews triggered by change-of-control, client consolidation away from a now-US-owned manager), the deal economics break — lost fee revenue swamps the modelled synergies.</t>
  </si>
  <si>
    <t>This is why the deal is structured for standalone operation ≥12 months, why Oldfield stays as CEO, and why cost synergies on the investment line are kept minimal. Retention is the whole game.</t>
  </si>
  <si>
    <t xml:space="preserve">  MANAGEMENT ASSESSMENT</t>
  </si>
  <si>
    <t>Guidance vs delivery (3yr)</t>
  </si>
  <si>
    <t>Credible. FY25 cost savings £75m in-year vs £50m guided; £102m annualised vs £150m 3yr target — ahead of plan. Adj op profit +25%, EPS +29%. Transformation 'ahead of target'.</t>
  </si>
  <si>
    <t>Why sell now?</t>
  </si>
  <si>
    <t>Oldfield/Burnett (in role since 2024) judged standalone scale insufficient vs US giants amid fee compression; the family (222 yrs, ~41%) chose liquidity/de-risking. Selling into a 43% YTD share rally at a 34% premium = disciplined timing, not distress.</t>
  </si>
  <si>
    <t>Incentive alignment</t>
  </si>
  <si>
    <t>Directors gave irrevocables on their own shares; family trustees on ~41%. Interests aligned with accepting cash certainty over standalone execution risk.</t>
  </si>
  <si>
    <t>Acquirer management</t>
  </si>
  <si>
    <t>William Huffman (Nuveen CEO) gains a global platform; TIAA's permanent capital removes quarterly scrutiny. Oldfield continues → continuity signal for client/PM retention.</t>
  </si>
  <si>
    <t>One-sentence verdict</t>
  </si>
  <si>
    <t>A well-run management team sold a structurally-challenged franchise at the top of its trading range to a buyer who can give it scale — good stewardship, not a fire sale.</t>
  </si>
  <si>
    <t xml:space="preserve">  KEY RISKS TO THE DEAL THESIS</t>
  </si>
  <si>
    <t>Risk</t>
  </si>
  <si>
    <t>Severity</t>
  </si>
  <si>
    <t>Description</t>
  </si>
  <si>
    <t>AUM attrition</t>
  </si>
  <si>
    <t>Change-of-control mandate reviews; PM departures; clients trimming a US-owned active manager.</t>
  </si>
  <si>
    <t>Regulatory / antitrust</t>
  </si>
  <si>
    <t>Low-Med</t>
  </si>
  <si>
    <t>Limited product overlap; but FCA/PRA + multi-jurisdiction reviews; 'UK plc sold to US' political optics.</t>
  </si>
  <si>
    <t>Key-person flight</t>
  </si>
  <si>
    <t>Star PMs/CIO Kyrklund and Schroders Capital team are the franchise; retention packages essential.</t>
  </si>
  <si>
    <t>Integration execution</t>
  </si>
  <si>
    <t>Medium</t>
  </si>
  <si>
    <t>Cross-border, two cultures; synergy delivery unproven; Schroders mid-transformation already.</t>
  </si>
  <si>
    <t>Market beta</t>
  </si>
  <si>
    <t>AUM (hence fees) is market-linked; a drawdown before close pressures both sides' economics.</t>
  </si>
  <si>
    <t>Revenue-synergy shortfall</t>
  </si>
  <si>
    <t>The premium needs cross-distribution to work; revenue synergies are the hardest to bank.</t>
  </si>
  <si>
    <t xml:space="preserve">  WHAT THIS MEANS FOR THE INDUSTRY</t>
  </si>
  <si>
    <t>•  Consolidation accelerates: alongside NatWest/Evelyn Partners, this signals the squeeze on sub-$1tn traditional active houses is now forcing scale deals. Scale is the only defence against fee compression + passive.</t>
  </si>
  <si>
    <t>•  Next UK/EU targets the market will speculate on: abrdn (cheap, mixed model), Jupiter (sub-scale, just bought CCLA), Liontrust (micro-cap, outflows), Man Group (alt premium — more likely acquirer than target), Polar Capital.</t>
  </si>
  <si>
    <t>•  Amundi &amp; DWS response: the European scale leaders may pursue their own bolt-ons (Amundi already did 4 deals in 2025) or transatlantic moves to avoid being out-scaled by a $2.5tn Nuveen/Schroders.</t>
  </si>
  <si>
    <t>•  Boutiques vs platforms: the barbell sharpens — either be a genuine high-alpha/private-markets specialist, or be part of a $1tn+ platform. The awkward middle (sub-scale traditional active) is where the targets are.</t>
  </si>
  <si>
    <t>•  5-year endgame: a handful of $2tn+ global public-to-private platforms (BlackRock, Amundi, Nuveen/Schroders, a few US names) plus a long tail of specialists. London keeps a major node via the retained Schroders brand and HQ.</t>
  </si>
  <si>
    <t xml:space="preserve">  AUDIT, CHECKS &amp; SOURCE REGISTER</t>
  </si>
  <si>
    <t>Integrity checks, full source citations and FX assumptions. Green = pass.</t>
  </si>
  <si>
    <t xml:space="preserve">  INTEGRITY CHECKS</t>
  </si>
  <si>
    <t xml:space="preserve">  SOURCE REGISTER</t>
  </si>
  <si>
    <t>Check</t>
  </si>
  <si>
    <t>Result</t>
  </si>
  <si>
    <t>Status</t>
  </si>
  <si>
    <t>Data</t>
  </si>
  <si>
    <t>Source &amp; date</t>
  </si>
  <si>
    <t>Cash consideration ÷ price = share count</t>
  </si>
  <si>
    <t>~1,610m ok</t>
  </si>
  <si>
    <t>Deal terms (590p+22p, £9.9bn, premia)</t>
  </si>
  <si>
    <t>Nuveen/Schroders Rule 2.7 announcement, 12 Feb 2026</t>
  </si>
  <si>
    <t>Offer per share = 590 + 22</t>
  </si>
  <si>
    <t>612 = 590+22  ok</t>
  </si>
  <si>
    <t>Unaffected 456p; 29/34/47/61% premia</t>
  </si>
  <si>
    <t>Invezz, MoneyMarketing, PensionsAge, QuotedData — Feb 2026</t>
  </si>
  <si>
    <t>Premium incl. div reconciles to 34%</t>
  </si>
  <si>
    <t>~34% ok</t>
  </si>
  <si>
    <t>~17x post-tax multiple; 41-42% irrevocables</t>
  </si>
  <si>
    <t>QuotedData, MoneyMarketing, WealthBriefing — Feb 2026</t>
  </si>
  <si>
    <t>EV/AUM in deal range (1.0-1.5%)</t>
  </si>
  <si>
    <t>1.20% ok</t>
  </si>
  <si>
    <t>Schroders FY25 financials &amp; AUM</t>
  </si>
  <si>
    <t>Schroders Annual Report &amp; Accounts 2025 (results 11 Feb 2026)</t>
  </si>
  <si>
    <t>P/post-tax profit ~ headline 17x</t>
  </si>
  <si>
    <t>~17x ok</t>
  </si>
  <si>
    <t>Schroders share count 1,612m issued</t>
  </si>
  <si>
    <t>Schroders shareholder hub (2022 sub-division); ex-treasury ~1,585m</t>
  </si>
  <si>
    <t>Comps median EV/EBITDA populated</t>
  </si>
  <si>
    <t>calc ok</t>
  </si>
  <si>
    <t>Amundi FY25 (€2,380bn, €3,417m, €1,354m)</t>
  </si>
  <si>
    <t>Amundi Q4/FY25 results, 3 Feb 2026; price Stockopedia 19 May 2026</t>
  </si>
  <si>
    <t>DCF active-scenario value (p)</t>
  </si>
  <si>
    <t>DWS FY25 (€1,085bn, €3,155m, €927m)</t>
  </si>
  <si>
    <t>DWS Q4/FY25 results, 29 Jan 2026; price Investing.com Apr-May 2026</t>
  </si>
  <si>
    <t>Synergy / premium coverage</t>
  </si>
  <si>
    <t>~0.5x ok</t>
  </si>
  <si>
    <t>Aberdeen FY25 (£556bn, £264m, £388m)</t>
  </si>
  <si>
    <t>Aberdeen Group FY25 results, 3 Mar 2026; price ADVFN Apr-May 2026</t>
  </si>
  <si>
    <t>Man Group FY25 ($227.6bn, $407m core PBT)</t>
  </si>
  <si>
    <t>Man Group FY25 results, 26 Feb 2026; price Investing.com 2026</t>
  </si>
  <si>
    <t>Formula-error scan validated via recalc.py - target zero errors across all sheets.</t>
  </si>
  <si>
    <t>Jupiter / Liontrust / Polar</t>
  </si>
  <si>
    <t>Company FY25 results &amp; market data, Feb-May 2026</t>
  </si>
  <si>
    <t>Precedent deals (Franklin, MS/EV, Macquarie)</t>
  </si>
  <si>
    <t>Company press releases / SEC 8-Ks 2020; Nomura/Brookfield/BlackRock 2024-25</t>
  </si>
  <si>
    <t xml:space="preserve">  FX ASSUMPTIONS (~May 2026)</t>
  </si>
  <si>
    <t>EV/AUM benchmark bands</t>
  </si>
  <si>
    <t>Piper Sandler AWM reports Jan'24/Apr'25; Mercer Capital; Morgan Stanley</t>
  </si>
  <si>
    <t>Pair</t>
  </si>
  <si>
    <t>Rate</t>
  </si>
  <si>
    <t>Use</t>
  </si>
  <si>
    <t>Analyst reactions (Panmure, RBC 610p PT)</t>
  </si>
  <si>
    <t>Sharecast / Hargreaves Lansdown news, 12-16 Feb 2026</t>
  </si>
  <si>
    <t>GBP/USD</t>
  </si>
  <si>
    <t>£9.9bn → ~$13.4bn; Man Group px</t>
  </si>
  <si>
    <t>ERP / beta</t>
  </si>
  <si>
    <t>Damodaran 2026; AM sector beta ~1.2</t>
  </si>
  <si>
    <t>EUR/USD</t>
  </si>
  <si>
    <t>Amundi/DWS USD cross-checks</t>
  </si>
  <si>
    <t>EUR/GBP</t>
  </si>
  <si>
    <t>European peers to sterling</t>
  </si>
  <si>
    <t>Estimates (flagged): Schroders net income (derived from adj op profit x (1-tax)); peer net debt/cash; synergies (author's own — none disclosed); FX spot.</t>
  </si>
  <si>
    <t>USD/GBP</t>
  </si>
  <si>
    <t>Nuveen $1.4tn context</t>
  </si>
  <si>
    <t xml:space="preserve">Buy-side / M&amp;A advisory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</si>
</sst>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;\(#,##0\);\-"/>
    <numFmt numFmtId="165" formatCode="#,##0.0;\(#,##0.0\);\-"/>
    <numFmt numFmtId="166" formatCode="\£#,##0;&quot;(£&quot;#,##0\);\-"/>
    <numFmt numFmtId="167" formatCode="0%;\(0%\);\-"/>
    <numFmt numFmtId="168" formatCode="0.00%;\(0.00%\);\-"/>
    <numFmt numFmtId="169" formatCode="0.0\x;\(0.0&quot;x)&quot;;\-"/>
    <numFmt numFmtId="170" formatCode="0.0%;\(0.0%\);\-"/>
    <numFmt numFmtId="171" formatCode="0.000"/>
  </numFmts>
  <fonts count="55" x14ac:knownFonts="1">
    <font>
      <sz val="11"/>
      <color theme="1"/>
      <name val="Calibri"/>
      <family val="2"/>
      <charset val="1"/>
    </font>
    <font>
      <b/>
      <sz val="11"/>
      <color rgb="FFC9A84C"/>
      <name val="Arial"/>
      <charset val="1"/>
    </font>
    <font>
      <b/>
      <sz val="28"/>
      <color rgb="FFFFFFFF"/>
      <name val="Arial"/>
      <charset val="1"/>
    </font>
    <font>
      <i/>
      <sz val="13"/>
      <color rgb="FFC9A84C"/>
      <name val="Arial"/>
      <charset val="1"/>
    </font>
    <font>
      <i/>
      <sz val="10.5"/>
      <color rgb="FFFFFFFF"/>
      <name val="Arial"/>
      <charset val="1"/>
    </font>
    <font>
      <b/>
      <sz val="12"/>
      <color rgb="FFC9A84C"/>
      <name val="Arial"/>
      <charset val="1"/>
    </font>
    <font>
      <b/>
      <sz val="11"/>
      <color rgb="FFFFFFFF"/>
      <name val="Arial"/>
      <charset val="1"/>
    </font>
    <font>
      <b/>
      <sz val="12"/>
      <color rgb="FF5FD3AD"/>
      <name val="Arial"/>
      <charset val="1"/>
    </font>
    <font>
      <i/>
      <sz val="9.5"/>
      <color rgb="FFC7D0E0"/>
      <name val="Arial"/>
      <charset val="1"/>
    </font>
    <font>
      <b/>
      <sz val="10.5"/>
      <color rgb="FFFFFFFF"/>
      <name val="Arial"/>
      <charset val="1"/>
    </font>
    <font>
      <sz val="10.5"/>
      <color rgb="FFFFFFFF"/>
      <name val="Arial"/>
      <charset val="1"/>
    </font>
    <font>
      <b/>
      <sz val="11"/>
      <color rgb="FFE8C766"/>
      <name val="Arial"/>
      <charset val="1"/>
    </font>
    <font>
      <i/>
      <sz val="8.5"/>
      <color rgb="FFC7D0E0"/>
      <name val="Arial"/>
      <charset val="1"/>
    </font>
    <font>
      <i/>
      <sz val="9"/>
      <color rgb="FFC9A84C"/>
      <name val="Arial"/>
      <charset val="1"/>
    </font>
    <font>
      <b/>
      <sz val="14"/>
      <color rgb="FF1F3864"/>
      <name val="Arial"/>
      <charset val="1"/>
    </font>
    <font>
      <i/>
      <sz val="9"/>
      <color rgb="FF595959"/>
      <name val="Arial"/>
      <charset val="1"/>
    </font>
    <font>
      <b/>
      <sz val="12"/>
      <color rgb="FF1F3864"/>
      <name val="Arial"/>
      <charset val="1"/>
    </font>
    <font>
      <sz val="10.5"/>
      <color rgb="FF000000"/>
      <name val="Arial"/>
      <charset val="1"/>
    </font>
    <font>
      <b/>
      <sz val="10.5"/>
      <color rgb="FF0000FF"/>
      <name val="Arial"/>
      <charset val="1"/>
    </font>
    <font>
      <i/>
      <sz val="8.5"/>
      <color rgb="FF595959"/>
      <name val="Arial"/>
      <charset val="1"/>
    </font>
    <font>
      <b/>
      <sz val="10.5"/>
      <color rgb="FF000000"/>
      <name val="Arial"/>
      <charset val="1"/>
    </font>
    <font>
      <b/>
      <sz val="11"/>
      <color rgb="FF1F6F54"/>
      <name val="Arial"/>
      <charset val="1"/>
    </font>
    <font>
      <b/>
      <sz val="11"/>
      <color rgb="FF1F3864"/>
      <name val="Arial"/>
      <charset val="1"/>
    </font>
    <font>
      <b/>
      <sz val="11"/>
      <color rgb="FF000000"/>
      <name val="Arial"/>
      <charset val="1"/>
    </font>
    <font>
      <b/>
      <sz val="10.5"/>
      <color rgb="FF1F3864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b/>
      <sz val="9.5"/>
      <color rgb="FFFFFFFF"/>
      <name val="Arial"/>
      <charset val="1"/>
    </font>
    <font>
      <b/>
      <sz val="10"/>
      <color rgb="FF000000"/>
      <name val="Arial"/>
      <charset val="1"/>
    </font>
    <font>
      <sz val="9.5"/>
      <color rgb="FF000000"/>
      <name val="Arial"/>
      <charset val="1"/>
    </font>
    <font>
      <sz val="10"/>
      <color rgb="FF0000FF"/>
      <name val="Arial"/>
      <charset val="1"/>
    </font>
    <font>
      <i/>
      <sz val="8"/>
      <color rgb="FF595959"/>
      <name val="Arial"/>
      <charset val="1"/>
    </font>
    <font>
      <b/>
      <sz val="10"/>
      <color rgb="FF1F3864"/>
      <name val="Arial"/>
      <charset val="1"/>
    </font>
    <font>
      <b/>
      <sz val="10"/>
      <color rgb="FF1F6F54"/>
      <name val="Arial"/>
      <charset val="1"/>
    </font>
    <font>
      <b/>
      <sz val="9.5"/>
      <color rgb="FF000000"/>
      <name val="Arial"/>
      <charset val="1"/>
    </font>
    <font>
      <sz val="9.5"/>
      <color rgb="FF0000FF"/>
      <name val="Arial"/>
      <charset val="1"/>
    </font>
    <font>
      <i/>
      <sz val="9.5"/>
      <color rgb="FF595959"/>
      <name val="Arial"/>
      <charset val="1"/>
    </font>
    <font>
      <sz val="10"/>
      <color rgb="FF1F3864"/>
      <name val="Arial"/>
      <charset val="1"/>
    </font>
    <font>
      <sz val="10"/>
      <color rgb="FF1F6F54"/>
      <name val="Arial"/>
      <charset val="1"/>
    </font>
    <font>
      <i/>
      <sz val="10"/>
      <color rgb="FF595959"/>
      <name val="Arial"/>
      <charset val="1"/>
    </font>
    <font>
      <i/>
      <sz val="8"/>
      <color rgb="FF1F6F54"/>
      <name val="Arial"/>
      <charset val="1"/>
    </font>
    <font>
      <b/>
      <sz val="11"/>
      <color rgb="FF0000FF"/>
      <name val="Arial"/>
      <charset val="1"/>
    </font>
    <font>
      <b/>
      <sz val="10"/>
      <color rgb="FF0000FF"/>
      <name val="Arial"/>
      <charset val="1"/>
    </font>
    <font>
      <i/>
      <sz val="9"/>
      <color rgb="FF9C6500"/>
      <name val="Arial"/>
      <charset val="1"/>
    </font>
    <font>
      <b/>
      <sz val="13"/>
      <color rgb="FF1F6F54"/>
      <name val="Arial"/>
      <charset val="1"/>
    </font>
    <font>
      <b/>
      <sz val="9.5"/>
      <color rgb="FF1F6F54"/>
      <name val="Arial"/>
      <charset val="1"/>
    </font>
    <font>
      <b/>
      <sz val="13"/>
      <color rgb="FFC9A84C"/>
      <name val="Arial"/>
      <charset val="1"/>
    </font>
    <font>
      <sz val="10"/>
      <color rgb="FFFFFFFF"/>
      <name val="Arial"/>
      <charset val="1"/>
    </font>
    <font>
      <b/>
      <sz val="10"/>
      <color rgb="FF9C0006"/>
      <name val="Arial"/>
      <charset val="1"/>
    </font>
    <font>
      <b/>
      <sz val="10"/>
      <color rgb="FF9C6500"/>
      <name val="Arial"/>
      <charset val="1"/>
    </font>
    <font>
      <b/>
      <sz val="10"/>
      <color rgb="FF006100"/>
      <name val="Arial"/>
      <charset val="1"/>
    </font>
    <font>
      <sz val="9.5"/>
      <color rgb="FF006100"/>
      <name val="Arial"/>
      <charset val="1"/>
    </font>
    <font>
      <b/>
      <sz val="9"/>
      <color rgb="FF1F3864"/>
      <name val="Arial"/>
      <charset val="1"/>
    </font>
    <font>
      <sz val="8.5"/>
      <color rgb="FF000000"/>
      <name val="Arial"/>
      <charset val="1"/>
    </font>
    <font>
      <sz val="10.5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2F2F2"/>
      </patternFill>
    </fill>
    <fill>
      <patternFill patternType="solid">
        <fgColor rgb="FFE8F0EC"/>
        <bgColor rgb="FFF2F2F2"/>
      </patternFill>
    </fill>
    <fill>
      <patternFill patternType="solid">
        <fgColor rgb="FFFFEB9C"/>
        <bgColor rgb="FFFFF2CC"/>
      </patternFill>
    </fill>
    <fill>
      <patternFill patternType="solid">
        <fgColor rgb="FFF2F2F2"/>
        <bgColor rgb="FFE8F0EC"/>
      </patternFill>
    </fill>
    <fill>
      <patternFill patternType="solid">
        <fgColor rgb="FFFFC7CE"/>
        <bgColor rgb="FFD9D9D9"/>
      </patternFill>
    </fill>
    <fill>
      <patternFill patternType="solid">
        <fgColor rgb="FFC6EFCE"/>
        <bgColor rgb="FFD9D9D9"/>
      </patternFill>
    </fill>
  </fills>
  <borders count="5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9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7" fillId="0" borderId="1" xfId="0" applyFont="1" applyBorder="1"/>
    <xf numFmtId="164" fontId="18" fillId="0" borderId="1" xfId="0" applyNumberFormat="1" applyFont="1" applyBorder="1" applyAlignment="1">
      <alignment horizontal="right" vertical="center"/>
    </xf>
    <xf numFmtId="0" fontId="19" fillId="0" borderId="1" xfId="0" applyFont="1" applyBorder="1"/>
    <xf numFmtId="165" fontId="18" fillId="0" borderId="1" xfId="0" applyNumberFormat="1" applyFont="1" applyBorder="1" applyAlignment="1">
      <alignment horizontal="right" vertical="center"/>
    </xf>
    <xf numFmtId="166" fontId="18" fillId="0" borderId="1" xfId="0" applyNumberFormat="1" applyFont="1" applyBorder="1" applyAlignment="1">
      <alignment horizontal="right" vertical="center"/>
    </xf>
    <xf numFmtId="164" fontId="20" fillId="0" borderId="1" xfId="0" applyNumberFormat="1" applyFont="1" applyBorder="1" applyAlignment="1">
      <alignment horizontal="right" vertical="center"/>
    </xf>
    <xf numFmtId="167" fontId="20" fillId="0" borderId="1" xfId="0" applyNumberFormat="1" applyFont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/>
    </xf>
    <xf numFmtId="166" fontId="20" fillId="0" borderId="1" xfId="0" applyNumberFormat="1" applyFont="1" applyBorder="1" applyAlignment="1">
      <alignment horizontal="right" vertical="center"/>
    </xf>
    <xf numFmtId="168" fontId="21" fillId="0" borderId="1" xfId="0" applyNumberFormat="1" applyFont="1" applyBorder="1" applyAlignment="1">
      <alignment horizontal="right" vertical="center"/>
    </xf>
    <xf numFmtId="169" fontId="21" fillId="0" borderId="1" xfId="0" applyNumberFormat="1" applyFont="1" applyBorder="1" applyAlignment="1">
      <alignment horizontal="right" vertical="center"/>
    </xf>
    <xf numFmtId="0" fontId="22" fillId="0" borderId="1" xfId="0" applyFont="1" applyBorder="1"/>
    <xf numFmtId="166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/>
    <xf numFmtId="0" fontId="27" fillId="2" borderId="2" xfId="0" applyFont="1" applyFill="1" applyBorder="1" applyAlignment="1">
      <alignment horizontal="center" vertical="center" wrapText="1"/>
    </xf>
    <xf numFmtId="0" fontId="28" fillId="0" borderId="2" xfId="0" applyFont="1" applyBorder="1"/>
    <xf numFmtId="0" fontId="29" fillId="0" borderId="2" xfId="0" applyFont="1" applyBorder="1" applyAlignment="1">
      <alignment horizontal="center" vertical="center"/>
    </xf>
    <xf numFmtId="4" fontId="30" fillId="0" borderId="2" xfId="0" applyNumberFormat="1" applyFont="1" applyBorder="1" applyAlignment="1">
      <alignment horizontal="right" vertical="center"/>
    </xf>
    <xf numFmtId="164" fontId="30" fillId="0" borderId="2" xfId="0" applyNumberFormat="1" applyFont="1" applyBorder="1" applyAlignment="1">
      <alignment horizontal="right" vertical="center"/>
    </xf>
    <xf numFmtId="164" fontId="25" fillId="0" borderId="2" xfId="0" applyNumberFormat="1" applyFont="1" applyBorder="1" applyAlignment="1">
      <alignment horizontal="right" vertical="center"/>
    </xf>
    <xf numFmtId="165" fontId="30" fillId="0" borderId="2" xfId="0" applyNumberFormat="1" applyFont="1" applyBorder="1" applyAlignment="1">
      <alignment horizontal="right" vertical="center"/>
    </xf>
    <xf numFmtId="168" fontId="25" fillId="0" borderId="2" xfId="0" applyNumberFormat="1" applyFont="1" applyBorder="1" applyAlignment="1">
      <alignment horizontal="right" vertical="center"/>
    </xf>
    <xf numFmtId="168" fontId="28" fillId="0" borderId="2" xfId="0" applyNumberFormat="1" applyFont="1" applyBorder="1" applyAlignment="1">
      <alignment horizontal="right" vertical="center"/>
    </xf>
    <xf numFmtId="169" fontId="25" fillId="0" borderId="2" xfId="0" applyNumberFormat="1" applyFont="1" applyBorder="1" applyAlignment="1">
      <alignment horizontal="right" vertical="center"/>
    </xf>
    <xf numFmtId="0" fontId="31" fillId="0" borderId="0" xfId="0" applyFont="1"/>
    <xf numFmtId="0" fontId="32" fillId="0" borderId="3" xfId="0" applyFont="1" applyBorder="1"/>
    <xf numFmtId="0" fontId="0" fillId="0" borderId="3" xfId="0" applyBorder="1"/>
    <xf numFmtId="168" fontId="25" fillId="0" borderId="3" xfId="0" applyNumberFormat="1" applyFont="1" applyBorder="1" applyAlignment="1">
      <alignment horizontal="right" vertical="center"/>
    </xf>
    <xf numFmtId="169" fontId="25" fillId="0" borderId="3" xfId="0" applyNumberFormat="1" applyFont="1" applyBorder="1" applyAlignment="1">
      <alignment horizontal="right" vertical="center"/>
    </xf>
    <xf numFmtId="0" fontId="32" fillId="3" borderId="3" xfId="0" applyFont="1" applyFill="1" applyBorder="1"/>
    <xf numFmtId="0" fontId="0" fillId="3" borderId="3" xfId="0" applyFill="1" applyBorder="1"/>
    <xf numFmtId="168" fontId="25" fillId="3" borderId="3" xfId="0" applyNumberFormat="1" applyFont="1" applyFill="1" applyBorder="1" applyAlignment="1">
      <alignment horizontal="right" vertical="center"/>
    </xf>
    <xf numFmtId="168" fontId="28" fillId="3" borderId="3" xfId="0" applyNumberFormat="1" applyFont="1" applyFill="1" applyBorder="1" applyAlignment="1">
      <alignment horizontal="right" vertical="center"/>
    </xf>
    <xf numFmtId="169" fontId="28" fillId="3" borderId="3" xfId="0" applyNumberFormat="1" applyFont="1" applyFill="1" applyBorder="1" applyAlignment="1">
      <alignment horizontal="right" vertical="center"/>
    </xf>
    <xf numFmtId="0" fontId="28" fillId="4" borderId="2" xfId="0" applyFont="1" applyFill="1" applyBorder="1"/>
    <xf numFmtId="0" fontId="29" fillId="4" borderId="2" xfId="0" applyFont="1" applyFill="1" applyBorder="1" applyAlignment="1">
      <alignment horizontal="center" vertical="center"/>
    </xf>
    <xf numFmtId="4" fontId="30" fillId="4" borderId="2" xfId="0" applyNumberFormat="1" applyFont="1" applyFill="1" applyBorder="1" applyAlignment="1">
      <alignment horizontal="right" vertical="center"/>
    </xf>
    <xf numFmtId="164" fontId="30" fillId="4" borderId="2" xfId="0" applyNumberFormat="1" applyFont="1" applyFill="1" applyBorder="1" applyAlignment="1">
      <alignment horizontal="right" vertical="center"/>
    </xf>
    <xf numFmtId="164" fontId="25" fillId="4" borderId="2" xfId="0" applyNumberFormat="1" applyFont="1" applyFill="1" applyBorder="1" applyAlignment="1">
      <alignment horizontal="right" vertical="center"/>
    </xf>
    <xf numFmtId="165" fontId="30" fillId="4" borderId="2" xfId="0" applyNumberFormat="1" applyFont="1" applyFill="1" applyBorder="1" applyAlignment="1">
      <alignment horizontal="right" vertical="center"/>
    </xf>
    <xf numFmtId="168" fontId="25" fillId="4" borderId="2" xfId="0" applyNumberFormat="1" applyFont="1" applyFill="1" applyBorder="1" applyAlignment="1">
      <alignment horizontal="right" vertical="center"/>
    </xf>
    <xf numFmtId="168" fontId="33" fillId="4" borderId="2" xfId="0" applyNumberFormat="1" applyFont="1" applyFill="1" applyBorder="1" applyAlignment="1">
      <alignment horizontal="right" vertical="center"/>
    </xf>
    <xf numFmtId="169" fontId="33" fillId="4" borderId="2" xfId="0" applyNumberFormat="1" applyFont="1" applyFill="1" applyBorder="1" applyAlignment="1">
      <alignment horizontal="right" vertical="center"/>
    </xf>
    <xf numFmtId="0" fontId="25" fillId="0" borderId="2" xfId="0" applyFont="1" applyBorder="1"/>
    <xf numFmtId="167" fontId="28" fillId="0" borderId="3" xfId="0" applyNumberFormat="1" applyFont="1" applyBorder="1" applyAlignment="1">
      <alignment horizontal="right" vertical="center"/>
    </xf>
    <xf numFmtId="0" fontId="32" fillId="0" borderId="0" xfId="0" applyFont="1"/>
    <xf numFmtId="0" fontId="34" fillId="0" borderId="2" xfId="0" applyFont="1" applyBorder="1"/>
    <xf numFmtId="0" fontId="29" fillId="0" borderId="2" xfId="0" applyFont="1" applyBorder="1"/>
    <xf numFmtId="165" fontId="35" fillId="0" borderId="2" xfId="0" applyNumberFormat="1" applyFont="1" applyBorder="1" applyAlignment="1">
      <alignment horizontal="right" vertical="center"/>
    </xf>
    <xf numFmtId="164" fontId="35" fillId="0" borderId="2" xfId="0" applyNumberFormat="1" applyFont="1" applyBorder="1" applyAlignment="1">
      <alignment horizontal="right" vertical="center"/>
    </xf>
    <xf numFmtId="168" fontId="34" fillId="0" borderId="2" xfId="0" applyNumberFormat="1" applyFont="1" applyBorder="1" applyAlignment="1">
      <alignment horizontal="right" vertical="center"/>
    </xf>
    <xf numFmtId="169" fontId="29" fillId="0" borderId="2" xfId="0" applyNumberFormat="1" applyFont="1" applyBorder="1" applyAlignment="1">
      <alignment horizontal="right" vertical="center"/>
    </xf>
    <xf numFmtId="0" fontId="36" fillId="0" borderId="2" xfId="0" applyFont="1" applyBorder="1" applyAlignment="1">
      <alignment horizontal="right" vertical="center"/>
    </xf>
    <xf numFmtId="167" fontId="35" fillId="0" borderId="2" xfId="0" applyNumberFormat="1" applyFont="1" applyBorder="1" applyAlignment="1">
      <alignment horizontal="right" vertical="center"/>
    </xf>
    <xf numFmtId="0" fontId="35" fillId="0" borderId="2" xfId="0" applyFont="1" applyBorder="1" applyAlignment="1">
      <alignment horizontal="right" vertical="center"/>
    </xf>
    <xf numFmtId="167" fontId="28" fillId="3" borderId="3" xfId="0" applyNumberFormat="1" applyFont="1" applyFill="1" applyBorder="1" applyAlignment="1">
      <alignment horizontal="right" vertical="center"/>
    </xf>
    <xf numFmtId="0" fontId="0" fillId="0" borderId="1" xfId="0" applyBorder="1"/>
    <xf numFmtId="168" fontId="25" fillId="0" borderId="1" xfId="0" applyNumberFormat="1" applyFont="1" applyBorder="1" applyAlignment="1">
      <alignment horizontal="right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2" xfId="0" applyFont="1" applyFill="1" applyBorder="1"/>
    <xf numFmtId="169" fontId="38" fillId="4" borderId="2" xfId="0" applyNumberFormat="1" applyFont="1" applyFill="1" applyBorder="1" applyAlignment="1">
      <alignment horizontal="right" vertical="center"/>
    </xf>
    <xf numFmtId="0" fontId="39" fillId="4" borderId="2" xfId="0" applyFont="1" applyFill="1" applyBorder="1" applyAlignment="1">
      <alignment horizontal="right" vertical="center"/>
    </xf>
    <xf numFmtId="167" fontId="33" fillId="4" borderId="2" xfId="0" applyNumberFormat="1" applyFont="1" applyFill="1" applyBorder="1" applyAlignment="1">
      <alignment horizontal="right" vertical="center"/>
    </xf>
    <xf numFmtId="0" fontId="40" fillId="0" borderId="0" xfId="0" applyFont="1"/>
    <xf numFmtId="0" fontId="22" fillId="0" borderId="0" xfId="0" applyFont="1"/>
    <xf numFmtId="0" fontId="41" fillId="5" borderId="2" xfId="0" applyFont="1" applyFill="1" applyBorder="1" applyAlignment="1">
      <alignment horizontal="center" vertical="center"/>
    </xf>
    <xf numFmtId="0" fontId="26" fillId="2" borderId="2" xfId="0" applyFont="1" applyFill="1" applyBorder="1"/>
    <xf numFmtId="0" fontId="26" fillId="2" borderId="2" xfId="0" applyFont="1" applyFill="1" applyBorder="1" applyAlignment="1">
      <alignment horizontal="center" vertical="center"/>
    </xf>
    <xf numFmtId="170" fontId="30" fillId="0" borderId="2" xfId="0" applyNumberFormat="1" applyFont="1" applyBorder="1" applyAlignment="1">
      <alignment horizontal="center" vertical="center"/>
    </xf>
    <xf numFmtId="170" fontId="28" fillId="6" borderId="2" xfId="0" applyNumberFormat="1" applyFont="1" applyFill="1" applyBorder="1" applyAlignment="1">
      <alignment horizontal="center" vertical="center"/>
    </xf>
    <xf numFmtId="0" fontId="19" fillId="0" borderId="0" xfId="0" applyFont="1"/>
    <xf numFmtId="169" fontId="30" fillId="0" borderId="2" xfId="0" applyNumberFormat="1" applyFont="1" applyBorder="1" applyAlignment="1">
      <alignment horizontal="center" vertical="center"/>
    </xf>
    <xf numFmtId="169" fontId="28" fillId="6" borderId="2" xfId="0" applyNumberFormat="1" applyFont="1" applyFill="1" applyBorder="1" applyAlignment="1">
      <alignment horizontal="center" vertical="center"/>
    </xf>
    <xf numFmtId="0" fontId="25" fillId="0" borderId="1" xfId="0" applyFont="1" applyBorder="1"/>
    <xf numFmtId="166" fontId="30" fillId="0" borderId="1" xfId="0" applyNumberFormat="1" applyFont="1" applyBorder="1" applyAlignment="1">
      <alignment horizontal="right" vertical="center"/>
    </xf>
    <xf numFmtId="167" fontId="30" fillId="0" borderId="1" xfId="0" applyNumberFormat="1" applyFont="1" applyBorder="1" applyAlignment="1">
      <alignment horizontal="right" vertical="center"/>
    </xf>
    <xf numFmtId="170" fontId="30" fillId="0" borderId="1" xfId="0" applyNumberFormat="1" applyFont="1" applyBorder="1" applyAlignment="1">
      <alignment horizontal="right" vertical="center"/>
    </xf>
    <xf numFmtId="2" fontId="30" fillId="0" borderId="1" xfId="0" applyNumberFormat="1" applyFont="1" applyBorder="1" applyAlignment="1">
      <alignment horizontal="right" vertical="center"/>
    </xf>
    <xf numFmtId="170" fontId="28" fillId="0" borderId="1" xfId="0" applyNumberFormat="1" applyFont="1" applyBorder="1" applyAlignment="1">
      <alignment horizontal="right" vertical="center"/>
    </xf>
    <xf numFmtId="164" fontId="30" fillId="0" borderId="1" xfId="0" applyNumberFormat="1" applyFont="1" applyBorder="1" applyAlignment="1">
      <alignment horizontal="right" vertical="center"/>
    </xf>
    <xf numFmtId="0" fontId="25" fillId="0" borderId="0" xfId="0" applyFont="1"/>
    <xf numFmtId="166" fontId="0" fillId="0" borderId="0" xfId="0" applyNumberFormat="1" applyAlignment="1">
      <alignment horizontal="right" vertical="center"/>
    </xf>
    <xf numFmtId="0" fontId="32" fillId="0" borderId="4" xfId="0" applyFont="1" applyBorder="1"/>
    <xf numFmtId="166" fontId="28" fillId="0" borderId="4" xfId="0" applyNumberFormat="1" applyFont="1" applyBorder="1" applyAlignment="1">
      <alignment horizontal="right" vertical="center"/>
    </xf>
    <xf numFmtId="171" fontId="25" fillId="0" borderId="0" xfId="0" applyNumberFormat="1" applyFont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/>
    </xf>
    <xf numFmtId="0" fontId="32" fillId="0" borderId="1" xfId="0" applyFont="1" applyBorder="1"/>
    <xf numFmtId="166" fontId="32" fillId="0" borderId="1" xfId="0" applyNumberFormat="1" applyFont="1" applyBorder="1" applyAlignment="1">
      <alignment horizontal="right" vertical="center"/>
    </xf>
    <xf numFmtId="164" fontId="25" fillId="0" borderId="1" xfId="0" applyNumberFormat="1" applyFont="1" applyBorder="1" applyAlignment="1">
      <alignment horizontal="right" vertical="center"/>
    </xf>
    <xf numFmtId="4" fontId="33" fillId="0" borderId="1" xfId="0" applyNumberFormat="1" applyFont="1" applyBorder="1" applyAlignment="1">
      <alignment horizontal="right" vertical="center"/>
    </xf>
    <xf numFmtId="164" fontId="33" fillId="0" borderId="1" xfId="0" applyNumberFormat="1" applyFont="1" applyBorder="1" applyAlignment="1">
      <alignment horizontal="right" vertical="center"/>
    </xf>
    <xf numFmtId="164" fontId="42" fillId="0" borderId="4" xfId="0" applyNumberFormat="1" applyFont="1" applyBorder="1" applyAlignment="1">
      <alignment horizontal="right" vertical="center"/>
    </xf>
    <xf numFmtId="167" fontId="21" fillId="0" borderId="1" xfId="0" applyNumberFormat="1" applyFont="1" applyBorder="1" applyAlignment="1">
      <alignment horizontal="right" vertical="center"/>
    </xf>
    <xf numFmtId="0" fontId="32" fillId="0" borderId="2" xfId="0" applyFont="1" applyBorder="1"/>
    <xf numFmtId="164" fontId="21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167" fontId="28" fillId="0" borderId="2" xfId="0" applyNumberFormat="1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166" fontId="30" fillId="0" borderId="2" xfId="0" applyNumberFormat="1" applyFont="1" applyBorder="1" applyAlignment="1">
      <alignment horizontal="right" vertical="center"/>
    </xf>
    <xf numFmtId="167" fontId="30" fillId="0" borderId="2" xfId="0" applyNumberFormat="1" applyFont="1" applyBorder="1" applyAlignment="1">
      <alignment horizontal="right" vertical="center"/>
    </xf>
    <xf numFmtId="166" fontId="25" fillId="0" borderId="2" xfId="0" applyNumberFormat="1" applyFont="1" applyBorder="1" applyAlignment="1">
      <alignment horizontal="right" vertical="center"/>
    </xf>
    <xf numFmtId="0" fontId="22" fillId="3" borderId="3" xfId="0" applyFont="1" applyFill="1" applyBorder="1"/>
    <xf numFmtId="166" fontId="21" fillId="3" borderId="3" xfId="0" applyNumberFormat="1" applyFont="1" applyFill="1" applyBorder="1" applyAlignment="1">
      <alignment horizontal="right" vertical="center"/>
    </xf>
    <xf numFmtId="170" fontId="30" fillId="0" borderId="2" xfId="0" applyNumberFormat="1" applyFont="1" applyBorder="1" applyAlignment="1">
      <alignment horizontal="right" vertical="center"/>
    </xf>
    <xf numFmtId="166" fontId="33" fillId="0" borderId="1" xfId="0" applyNumberFormat="1" applyFont="1" applyBorder="1" applyAlignment="1">
      <alignment horizontal="right" vertical="center"/>
    </xf>
    <xf numFmtId="169" fontId="33" fillId="0" borderId="1" xfId="0" applyNumberFormat="1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/>
    </xf>
    <xf numFmtId="164" fontId="33" fillId="4" borderId="2" xfId="0" applyNumberFormat="1" applyFont="1" applyFill="1" applyBorder="1" applyAlignment="1">
      <alignment horizontal="right" vertical="center"/>
    </xf>
    <xf numFmtId="0" fontId="45" fillId="4" borderId="2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49" fillId="5" borderId="2" xfId="0" applyFont="1" applyFill="1" applyBorder="1" applyAlignment="1">
      <alignment horizontal="center" vertical="center"/>
    </xf>
    <xf numFmtId="164" fontId="50" fillId="0" borderId="2" xfId="0" applyNumberFormat="1" applyFont="1" applyBorder="1" applyAlignment="1">
      <alignment horizontal="right" vertical="center"/>
    </xf>
    <xf numFmtId="0" fontId="51" fillId="8" borderId="2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left" vertical="top" wrapText="1"/>
    </xf>
    <xf numFmtId="0" fontId="53" fillId="0" borderId="1" xfId="0" applyFont="1" applyBorder="1" applyAlignment="1">
      <alignment horizontal="left" vertical="top" wrapText="1"/>
    </xf>
    <xf numFmtId="167" fontId="50" fillId="0" borderId="2" xfId="0" applyNumberFormat="1" applyFont="1" applyBorder="1" applyAlignment="1">
      <alignment horizontal="right" vertical="center"/>
    </xf>
    <xf numFmtId="168" fontId="50" fillId="0" borderId="2" xfId="0" applyNumberFormat="1" applyFont="1" applyBorder="1" applyAlignment="1">
      <alignment horizontal="right" vertical="center"/>
    </xf>
    <xf numFmtId="169" fontId="50" fillId="0" borderId="2" xfId="0" applyNumberFormat="1" applyFont="1" applyBorder="1" applyAlignment="1">
      <alignment horizontal="right" vertical="center"/>
    </xf>
    <xf numFmtId="2" fontId="30" fillId="0" borderId="2" xfId="0" applyNumberFormat="1" applyFont="1" applyBorder="1" applyAlignment="1">
      <alignment horizontal="right" vertical="center"/>
    </xf>
    <xf numFmtId="0" fontId="19" fillId="0" borderId="2" xfId="0" applyFont="1" applyBorder="1"/>
    <xf numFmtId="10" fontId="7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2" fillId="2" borderId="0" xfId="0" applyFont="1" applyFill="1" applyAlignment="1">
      <alignment horizontal="left" vertical="top" wrapText="1"/>
    </xf>
    <xf numFmtId="0" fontId="13" fillId="2" borderId="0" xfId="0" applyFont="1" applyFill="1"/>
    <xf numFmtId="0" fontId="5" fillId="2" borderId="0" xfId="0" applyFont="1" applyFill="1" applyAlignment="1">
      <alignment horizontal="left" vertical="center"/>
    </xf>
    <xf numFmtId="0" fontId="54" fillId="2" borderId="0" xfId="0" applyFont="1" applyFill="1"/>
    <xf numFmtId="0" fontId="6" fillId="2" borderId="1" xfId="0" applyFont="1" applyFill="1" applyBorder="1"/>
    <xf numFmtId="0" fontId="8" fillId="2" borderId="1" xfId="0" applyFont="1" applyFill="1" applyBorder="1"/>
    <xf numFmtId="0" fontId="9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5" fillId="0" borderId="0" xfId="0" applyFont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16" fillId="3" borderId="0" xfId="0" applyFont="1" applyFill="1" applyAlignment="1">
      <alignment horizontal="left" vertical="center"/>
    </xf>
    <xf numFmtId="0" fontId="14" fillId="3" borderId="0" xfId="0" applyFont="1" applyFill="1"/>
    <xf numFmtId="0" fontId="15" fillId="0" borderId="0" xfId="0" applyFont="1"/>
    <xf numFmtId="0" fontId="22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26" fillId="2" borderId="0" xfId="0" applyFont="1" applyFill="1" applyAlignment="1">
      <alignment horizontal="left" vertical="center"/>
    </xf>
    <xf numFmtId="0" fontId="32" fillId="3" borderId="3" xfId="0" applyFont="1" applyFill="1" applyBorder="1"/>
    <xf numFmtId="0" fontId="37" fillId="0" borderId="1" xfId="0" applyFont="1" applyBorder="1"/>
    <xf numFmtId="0" fontId="19" fillId="0" borderId="0" xfId="0" applyFont="1"/>
    <xf numFmtId="0" fontId="26" fillId="2" borderId="0" xfId="0" applyFont="1" applyFill="1"/>
    <xf numFmtId="0" fontId="43" fillId="0" borderId="0" xfId="0" applyFont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26" fillId="2" borderId="2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left" vertical="top" wrapText="1"/>
    </xf>
    <xf numFmtId="0" fontId="46" fillId="2" borderId="0" xfId="0" applyFont="1" applyFill="1"/>
    <xf numFmtId="0" fontId="44" fillId="0" borderId="0" xfId="0" applyFont="1"/>
    <xf numFmtId="0" fontId="19" fillId="0" borderId="0" xfId="0" applyFont="1" applyAlignment="1">
      <alignment horizontal="left" vertical="top" wrapText="1"/>
    </xf>
    <xf numFmtId="0" fontId="3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1F6F54"/>
      <rgbColor rgb="FFD9D9D9"/>
      <rgbColor rgb="FF808080"/>
      <rgbColor rgb="FF9999FF"/>
      <rgbColor rgb="FF993366"/>
      <rgbColor rgb="FFFFF2CC"/>
      <rgbColor rgb="FFE8F0EC"/>
      <rgbColor rgb="FF660066"/>
      <rgbColor rgb="FFFF8080"/>
      <rgbColor rgb="FF0066CC"/>
      <rgbColor rgb="FFC7D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99CCFF"/>
      <rgbColor rgb="FFFF99CC"/>
      <rgbColor rgb="FFCC99FF"/>
      <rgbColor rgb="FFFFC7CE"/>
      <rgbColor rgb="FF3366FF"/>
      <rgbColor rgb="FF5FD3AD"/>
      <rgbColor rgb="FF99CC00"/>
      <rgbColor rgb="FFE8C766"/>
      <rgbColor rgb="FFFF9900"/>
      <rgbColor rgb="FFFF6600"/>
      <rgbColor rgb="FF595959"/>
      <rgbColor rgb="FFC9A84C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G46"/>
  <sheetViews>
    <sheetView showGridLines="0" tabSelected="1" zoomScaleNormal="100" workbookViewId="0"/>
  </sheetViews>
  <sheetFormatPr defaultColWidth="8.6640625" defaultRowHeight="14.25" x14ac:dyDescent="0.45"/>
  <cols>
    <col min="1" max="1" width="2.46484375" customWidth="1"/>
    <col min="2" max="2" width="30" customWidth="1"/>
    <col min="3" max="3" width="46" customWidth="1"/>
    <col min="4" max="6" width="16" customWidth="1"/>
    <col min="7" max="7" width="3" customWidth="1"/>
  </cols>
  <sheetData>
    <row r="1" spans="1:7" x14ac:dyDescent="0.45">
      <c r="A1" s="2"/>
      <c r="B1" s="2"/>
      <c r="C1" s="2"/>
      <c r="D1" s="2"/>
      <c r="E1" s="2"/>
      <c r="F1" s="2"/>
      <c r="G1" s="2"/>
    </row>
    <row r="2" spans="1:7" x14ac:dyDescent="0.45">
      <c r="A2" s="2"/>
      <c r="B2" s="136"/>
      <c r="C2" s="136"/>
      <c r="D2" s="136"/>
      <c r="E2" s="136"/>
      <c r="F2" s="136"/>
      <c r="G2" s="2"/>
    </row>
    <row r="3" spans="1:7" x14ac:dyDescent="0.45">
      <c r="A3" s="2"/>
      <c r="B3" s="137" t="s">
        <v>0</v>
      </c>
      <c r="C3" s="137"/>
      <c r="D3" s="137"/>
      <c r="E3" s="137"/>
      <c r="F3" s="137"/>
      <c r="G3" s="2"/>
    </row>
    <row r="4" spans="1:7" ht="35.25" x14ac:dyDescent="0.95">
      <c r="A4" s="2"/>
      <c r="B4" s="138" t="s">
        <v>1</v>
      </c>
      <c r="C4" s="138"/>
      <c r="D4" s="138"/>
      <c r="E4" s="138"/>
      <c r="F4" s="138"/>
      <c r="G4" s="2"/>
    </row>
    <row r="5" spans="1:7" ht="16.5" x14ac:dyDescent="0.45">
      <c r="A5" s="2"/>
      <c r="B5" s="139" t="s">
        <v>2</v>
      </c>
      <c r="C5" s="139"/>
      <c r="D5" s="139"/>
      <c r="E5" s="139"/>
      <c r="F5" s="139"/>
      <c r="G5" s="2"/>
    </row>
    <row r="6" spans="1:7" x14ac:dyDescent="0.45">
      <c r="A6" s="2"/>
      <c r="B6" s="2"/>
      <c r="C6" s="2"/>
      <c r="D6" s="2"/>
      <c r="E6" s="2"/>
      <c r="F6" s="2"/>
      <c r="G6" s="2"/>
    </row>
    <row r="7" spans="1:7" x14ac:dyDescent="0.45">
      <c r="A7" s="2"/>
      <c r="B7" s="135" t="s">
        <v>3</v>
      </c>
      <c r="C7" s="135"/>
      <c r="D7" s="135"/>
      <c r="E7" s="135"/>
      <c r="F7" s="135"/>
      <c r="G7" s="2"/>
    </row>
    <row r="8" spans="1:7" x14ac:dyDescent="0.45">
      <c r="A8" s="2"/>
      <c r="B8" s="135" t="s">
        <v>4</v>
      </c>
      <c r="C8" s="135"/>
      <c r="D8" s="135"/>
      <c r="E8" s="135"/>
      <c r="F8" s="135"/>
      <c r="G8" s="2"/>
    </row>
    <row r="9" spans="1:7" x14ac:dyDescent="0.45">
      <c r="A9" s="2"/>
      <c r="B9" s="2"/>
      <c r="C9" s="2"/>
      <c r="D9" s="2"/>
      <c r="E9" s="2"/>
      <c r="F9" s="2"/>
      <c r="G9" s="2"/>
    </row>
    <row r="10" spans="1:7" ht="15" x14ac:dyDescent="0.45">
      <c r="A10" s="2"/>
      <c r="B10" s="130" t="s">
        <v>5</v>
      </c>
      <c r="C10" s="130"/>
      <c r="D10" s="130"/>
      <c r="E10" s="130"/>
      <c r="F10" s="130"/>
      <c r="G10" s="2"/>
    </row>
    <row r="11" spans="1:7" ht="15" x14ac:dyDescent="0.45">
      <c r="A11" s="2"/>
      <c r="B11" s="132" t="s">
        <v>6</v>
      </c>
      <c r="C11" s="132"/>
      <c r="D11" s="3" t="s">
        <v>7</v>
      </c>
      <c r="E11" s="133" t="s">
        <v>8</v>
      </c>
      <c r="F11" s="133"/>
      <c r="G11" s="2"/>
    </row>
    <row r="12" spans="1:7" ht="15" x14ac:dyDescent="0.45">
      <c r="A12" s="2"/>
      <c r="B12" s="132" t="s">
        <v>9</v>
      </c>
      <c r="C12" s="132"/>
      <c r="D12" s="126">
        <v>0.34</v>
      </c>
      <c r="E12" s="133" t="s">
        <v>10</v>
      </c>
      <c r="F12" s="133"/>
      <c r="G12" s="2"/>
    </row>
    <row r="13" spans="1:7" ht="15" x14ac:dyDescent="0.45">
      <c r="A13" s="2"/>
      <c r="B13" s="132" t="s">
        <v>11</v>
      </c>
      <c r="C13" s="132"/>
      <c r="D13" s="3" t="s">
        <v>12</v>
      </c>
      <c r="E13" s="133" t="s">
        <v>13</v>
      </c>
      <c r="F13" s="133"/>
      <c r="G13" s="2"/>
    </row>
    <row r="14" spans="1:7" ht="15" x14ac:dyDescent="0.45">
      <c r="A14" s="2"/>
      <c r="B14" s="132" t="s">
        <v>14</v>
      </c>
      <c r="C14" s="132"/>
      <c r="D14" s="125">
        <v>1.2E-2</v>
      </c>
      <c r="E14" s="133" t="s">
        <v>15</v>
      </c>
      <c r="F14" s="133"/>
      <c r="G14" s="2"/>
    </row>
    <row r="15" spans="1:7" ht="15" x14ac:dyDescent="0.45">
      <c r="A15" s="2"/>
      <c r="B15" s="132" t="s">
        <v>16</v>
      </c>
      <c r="C15" s="132"/>
      <c r="D15" s="3" t="s">
        <v>17</v>
      </c>
      <c r="E15" s="133" t="s">
        <v>18</v>
      </c>
      <c r="F15" s="133"/>
      <c r="G15" s="2"/>
    </row>
    <row r="16" spans="1:7" ht="15" x14ac:dyDescent="0.45">
      <c r="A16" s="2"/>
      <c r="B16" s="132" t="s">
        <v>19</v>
      </c>
      <c r="C16" s="132"/>
      <c r="D16" s="3" t="s">
        <v>20</v>
      </c>
      <c r="E16" s="133" t="s">
        <v>21</v>
      </c>
      <c r="F16" s="133"/>
      <c r="G16" s="2"/>
    </row>
    <row r="17" spans="1:7" x14ac:dyDescent="0.45">
      <c r="A17" s="2"/>
      <c r="B17" s="2"/>
      <c r="C17" s="2"/>
      <c r="D17" s="2"/>
      <c r="E17" s="2"/>
      <c r="F17" s="2"/>
      <c r="G17" s="2"/>
    </row>
    <row r="18" spans="1:7" ht="15" x14ac:dyDescent="0.45">
      <c r="A18" s="2"/>
      <c r="B18" s="130" t="s">
        <v>22</v>
      </c>
      <c r="C18" s="130"/>
      <c r="D18" s="130"/>
      <c r="E18" s="130"/>
      <c r="F18" s="130"/>
      <c r="G18" s="2"/>
    </row>
    <row r="19" spans="1:7" x14ac:dyDescent="0.45">
      <c r="A19" s="2"/>
      <c r="B19" s="134" t="s">
        <v>23</v>
      </c>
      <c r="C19" s="134"/>
      <c r="D19" s="134"/>
      <c r="E19" s="134"/>
      <c r="F19" s="134"/>
      <c r="G19" s="2"/>
    </row>
    <row r="20" spans="1:7" x14ac:dyDescent="0.45">
      <c r="A20" s="2"/>
      <c r="B20" s="127" t="s">
        <v>24</v>
      </c>
      <c r="C20" s="127"/>
      <c r="D20" s="127"/>
      <c r="E20" s="127"/>
      <c r="F20" s="127"/>
      <c r="G20" s="2"/>
    </row>
    <row r="21" spans="1:7" x14ac:dyDescent="0.45">
      <c r="A21" s="2"/>
      <c r="B21" s="127" t="s">
        <v>25</v>
      </c>
      <c r="C21" s="127"/>
      <c r="D21" s="127"/>
      <c r="E21" s="127"/>
      <c r="F21" s="127"/>
      <c r="G21" s="2"/>
    </row>
    <row r="22" spans="1:7" x14ac:dyDescent="0.45">
      <c r="A22" s="2"/>
      <c r="B22" s="127" t="s">
        <v>26</v>
      </c>
      <c r="C22" s="127"/>
      <c r="D22" s="127"/>
      <c r="E22" s="127"/>
      <c r="F22" s="127"/>
      <c r="G22" s="2"/>
    </row>
    <row r="23" spans="1:7" x14ac:dyDescent="0.45">
      <c r="A23" s="2"/>
      <c r="B23" s="2"/>
      <c r="C23" s="2"/>
      <c r="D23" s="2"/>
      <c r="E23" s="2"/>
      <c r="F23" s="2"/>
      <c r="G23" s="2"/>
    </row>
    <row r="24" spans="1:7" ht="15" x14ac:dyDescent="0.45">
      <c r="A24" s="2"/>
      <c r="B24" s="130" t="s">
        <v>27</v>
      </c>
      <c r="C24" s="130"/>
      <c r="D24" s="130"/>
      <c r="E24" s="130"/>
      <c r="F24" s="130"/>
      <c r="G24" s="2"/>
    </row>
    <row r="25" spans="1:7" x14ac:dyDescent="0.45">
      <c r="A25" s="2"/>
      <c r="B25" s="4" t="s">
        <v>28</v>
      </c>
      <c r="C25" s="127" t="s">
        <v>29</v>
      </c>
      <c r="D25" s="127"/>
      <c r="E25" s="127"/>
      <c r="F25" s="127"/>
      <c r="G25" s="2"/>
    </row>
    <row r="26" spans="1:7" x14ac:dyDescent="0.45">
      <c r="A26" s="2"/>
      <c r="B26" s="4" t="s">
        <v>30</v>
      </c>
      <c r="C26" s="127" t="s">
        <v>31</v>
      </c>
      <c r="D26" s="127"/>
      <c r="E26" s="127"/>
      <c r="F26" s="127"/>
      <c r="G26" s="2"/>
    </row>
    <row r="27" spans="1:7" x14ac:dyDescent="0.45">
      <c r="A27" s="2"/>
      <c r="B27" s="4" t="s">
        <v>32</v>
      </c>
      <c r="C27" s="127" t="s">
        <v>33</v>
      </c>
      <c r="D27" s="127"/>
      <c r="E27" s="127"/>
      <c r="F27" s="127"/>
      <c r="G27" s="2"/>
    </row>
    <row r="28" spans="1:7" x14ac:dyDescent="0.45">
      <c r="A28" s="2"/>
      <c r="B28" s="4" t="s">
        <v>34</v>
      </c>
      <c r="C28" s="127" t="s">
        <v>35</v>
      </c>
      <c r="D28" s="127"/>
      <c r="E28" s="127"/>
      <c r="F28" s="127"/>
      <c r="G28" s="2"/>
    </row>
    <row r="29" spans="1:7" x14ac:dyDescent="0.45">
      <c r="A29" s="2"/>
      <c r="B29" s="4" t="s">
        <v>36</v>
      </c>
      <c r="C29" s="127" t="s">
        <v>37</v>
      </c>
      <c r="D29" s="127"/>
      <c r="E29" s="127"/>
      <c r="F29" s="127"/>
      <c r="G29" s="2"/>
    </row>
    <row r="30" spans="1:7" x14ac:dyDescent="0.45">
      <c r="A30" s="2"/>
      <c r="B30" s="4" t="s">
        <v>38</v>
      </c>
      <c r="C30" s="127" t="s">
        <v>39</v>
      </c>
      <c r="D30" s="127"/>
      <c r="E30" s="127"/>
      <c r="F30" s="127"/>
      <c r="G30" s="2"/>
    </row>
    <row r="31" spans="1:7" x14ac:dyDescent="0.45">
      <c r="A31" s="2"/>
      <c r="B31" s="4" t="s">
        <v>40</v>
      </c>
      <c r="C31" s="127" t="s">
        <v>41</v>
      </c>
      <c r="D31" s="127"/>
      <c r="E31" s="127"/>
      <c r="F31" s="127"/>
      <c r="G31" s="2"/>
    </row>
    <row r="32" spans="1:7" x14ac:dyDescent="0.45">
      <c r="A32" s="2"/>
      <c r="B32" s="2"/>
      <c r="C32" s="2"/>
      <c r="D32" s="2"/>
      <c r="E32" s="2"/>
      <c r="F32" s="2"/>
      <c r="G32" s="2"/>
    </row>
    <row r="33" spans="1:7" ht="15" x14ac:dyDescent="0.45">
      <c r="A33" s="2"/>
      <c r="B33" s="130" t="s">
        <v>42</v>
      </c>
      <c r="C33" s="130"/>
      <c r="D33" s="130"/>
      <c r="E33" s="130"/>
      <c r="F33" s="130"/>
      <c r="G33" s="2"/>
    </row>
    <row r="34" spans="1:7" x14ac:dyDescent="0.45">
      <c r="A34" s="2"/>
      <c r="B34" s="1" t="s">
        <v>43</v>
      </c>
      <c r="C34" s="127" t="s">
        <v>44</v>
      </c>
      <c r="D34" s="127"/>
      <c r="E34" s="127"/>
      <c r="F34" s="127"/>
      <c r="G34" s="2"/>
    </row>
    <row r="35" spans="1:7" x14ac:dyDescent="0.45">
      <c r="A35" s="2"/>
      <c r="B35" s="1" t="s">
        <v>45</v>
      </c>
      <c r="C35" s="131" t="s">
        <v>502</v>
      </c>
      <c r="D35" s="127"/>
      <c r="E35" s="127"/>
      <c r="F35" s="127"/>
      <c r="G35" s="2"/>
    </row>
    <row r="36" spans="1:7" x14ac:dyDescent="0.45">
      <c r="A36" s="2"/>
      <c r="B36" s="1" t="s">
        <v>46</v>
      </c>
      <c r="C36" s="127" t="s">
        <v>47</v>
      </c>
      <c r="D36" s="127"/>
      <c r="E36" s="127"/>
      <c r="F36" s="127"/>
      <c r="G36" s="2"/>
    </row>
    <row r="37" spans="1:7" x14ac:dyDescent="0.45">
      <c r="A37" s="2"/>
      <c r="B37" s="1" t="s">
        <v>48</v>
      </c>
      <c r="C37" s="127" t="s">
        <v>49</v>
      </c>
      <c r="D37" s="127"/>
      <c r="E37" s="127"/>
      <c r="F37" s="127"/>
      <c r="G37" s="2"/>
    </row>
    <row r="38" spans="1:7" x14ac:dyDescent="0.45">
      <c r="A38" s="2"/>
      <c r="B38" s="1" t="s">
        <v>50</v>
      </c>
      <c r="C38" s="127" t="s">
        <v>51</v>
      </c>
      <c r="D38" s="127"/>
      <c r="E38" s="127"/>
      <c r="F38" s="127"/>
      <c r="G38" s="2"/>
    </row>
    <row r="39" spans="1:7" x14ac:dyDescent="0.45">
      <c r="A39" s="2"/>
      <c r="B39" s="2"/>
      <c r="C39" s="2"/>
      <c r="D39" s="2"/>
      <c r="E39" s="2"/>
      <c r="F39" s="2"/>
      <c r="G39" s="2"/>
    </row>
    <row r="40" spans="1:7" ht="57.75" customHeight="1" x14ac:dyDescent="0.45">
      <c r="A40" s="2"/>
      <c r="B40" s="128" t="s">
        <v>52</v>
      </c>
      <c r="C40" s="128"/>
      <c r="D40" s="128"/>
      <c r="E40" s="128"/>
      <c r="F40" s="128"/>
      <c r="G40" s="2"/>
    </row>
    <row r="41" spans="1:7" x14ac:dyDescent="0.45">
      <c r="A41" s="2"/>
      <c r="B41" s="128"/>
      <c r="C41" s="128"/>
      <c r="D41" s="128"/>
      <c r="E41" s="128"/>
      <c r="F41" s="128"/>
      <c r="G41" s="2"/>
    </row>
    <row r="42" spans="1:7" x14ac:dyDescent="0.45">
      <c r="A42" s="2"/>
      <c r="B42" s="128"/>
      <c r="C42" s="128"/>
      <c r="D42" s="128"/>
      <c r="E42" s="128"/>
      <c r="F42" s="128"/>
      <c r="G42" s="2"/>
    </row>
    <row r="43" spans="1:7" x14ac:dyDescent="0.45">
      <c r="A43" s="2"/>
      <c r="B43" s="128"/>
      <c r="C43" s="128"/>
      <c r="D43" s="128"/>
      <c r="E43" s="128"/>
      <c r="F43" s="128"/>
      <c r="G43" s="2"/>
    </row>
    <row r="44" spans="1:7" x14ac:dyDescent="0.45">
      <c r="A44" s="2"/>
      <c r="B44" s="2"/>
      <c r="C44" s="2"/>
      <c r="D44" s="2"/>
      <c r="E44" s="2"/>
      <c r="F44" s="2"/>
      <c r="G44" s="2"/>
    </row>
    <row r="45" spans="1:7" x14ac:dyDescent="0.45">
      <c r="A45" s="2"/>
      <c r="B45" s="129" t="s">
        <v>53</v>
      </c>
      <c r="C45" s="129"/>
      <c r="D45" s="129"/>
      <c r="E45" s="129"/>
      <c r="F45" s="129"/>
      <c r="G45" s="2"/>
    </row>
    <row r="46" spans="1:7" x14ac:dyDescent="0.45">
      <c r="A46" s="2"/>
      <c r="B46" s="2"/>
      <c r="C46" s="2"/>
      <c r="D46" s="2"/>
      <c r="E46" s="2"/>
      <c r="F46" s="2"/>
      <c r="G46" s="2"/>
    </row>
  </sheetData>
  <mergeCells count="40">
    <mergeCell ref="B2:F2"/>
    <mergeCell ref="B3:F3"/>
    <mergeCell ref="B4:F4"/>
    <mergeCell ref="B5:F5"/>
    <mergeCell ref="B7:F7"/>
    <mergeCell ref="B8:F8"/>
    <mergeCell ref="B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8:F18"/>
    <mergeCell ref="B19:F19"/>
    <mergeCell ref="B20:F20"/>
    <mergeCell ref="B21:F21"/>
    <mergeCell ref="B22:F22"/>
    <mergeCell ref="B24:F24"/>
    <mergeCell ref="C25:F25"/>
    <mergeCell ref="C26:F26"/>
    <mergeCell ref="C27:F27"/>
    <mergeCell ref="C28:F28"/>
    <mergeCell ref="C29:F29"/>
    <mergeCell ref="C30:F30"/>
    <mergeCell ref="C31:F31"/>
    <mergeCell ref="C38:F38"/>
    <mergeCell ref="B40:F43"/>
    <mergeCell ref="B45:F45"/>
    <mergeCell ref="B33:F33"/>
    <mergeCell ref="C34:F34"/>
    <mergeCell ref="C35:F35"/>
    <mergeCell ref="C36:F36"/>
    <mergeCell ref="C37:F37"/>
  </mergeCells>
  <hyperlinks>
    <hyperlink ref="B25" location="'Deal Summary'!A1" display="1.  Deal Summary" xr:uid="{00000000-0004-0000-0000-000000000000}"/>
    <hyperlink ref="B26" location="'Comps'!A1" display="2.  Trading Comps" xr:uid="{00000000-0004-0000-0000-000001000000}"/>
    <hyperlink ref="B27" location="'Precedents'!A1" display="3.  Precedent Transactions" xr:uid="{00000000-0004-0000-0000-000002000000}"/>
    <hyperlink ref="B28" location="'DCF'!A1" display="4.  Standalone DCF" xr:uid="{00000000-0004-0000-0000-000003000000}"/>
    <hyperlink ref="B29" location="'Synergies'!A1" display="5.  Synergy Analysis" xr:uid="{00000000-0004-0000-0000-000004000000}"/>
    <hyperlink ref="B30" location="'Verdict'!A1" display="6.  Deal Returns &amp; Verdict" xr:uid="{00000000-0004-0000-0000-000005000000}"/>
    <hyperlink ref="B31" location="'Audit'!A1" display="7.  Audit &amp; Sources" xr:uid="{00000000-0004-0000-0000-000006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B1:H39"/>
  <sheetViews>
    <sheetView showGridLines="0" zoomScaleNormal="100" workbookViewId="0"/>
  </sheetViews>
  <sheetFormatPr defaultColWidth="8.6640625" defaultRowHeight="14.25" x14ac:dyDescent="0.45"/>
  <cols>
    <col min="1" max="1" width="2.46484375" customWidth="1"/>
    <col min="2" max="2" width="42" customWidth="1"/>
    <col min="3" max="3" width="16" customWidth="1"/>
    <col min="4" max="4" width="28.6640625" customWidth="1"/>
    <col min="5" max="5" width="4" customWidth="1"/>
    <col min="6" max="6" width="40" customWidth="1"/>
    <col min="7" max="7" width="16" customWidth="1"/>
    <col min="8" max="8" width="28.6640625" customWidth="1"/>
  </cols>
  <sheetData>
    <row r="1" spans="2:8" ht="17.649999999999999" x14ac:dyDescent="0.5">
      <c r="B1" s="143" t="s">
        <v>54</v>
      </c>
      <c r="C1" s="143"/>
      <c r="D1" s="143"/>
      <c r="E1" s="143"/>
      <c r="F1" s="143"/>
      <c r="G1" s="143"/>
      <c r="H1" s="143"/>
    </row>
    <row r="2" spans="2:8" x14ac:dyDescent="0.45">
      <c r="B2" s="144" t="s">
        <v>55</v>
      </c>
      <c r="C2" s="144"/>
      <c r="D2" s="144"/>
      <c r="E2" s="144"/>
      <c r="F2" s="144"/>
      <c r="G2" s="144"/>
      <c r="H2" s="144"/>
    </row>
    <row r="4" spans="2:8" ht="15" x14ac:dyDescent="0.45">
      <c r="B4" s="142" t="s">
        <v>56</v>
      </c>
      <c r="C4" s="142"/>
      <c r="D4" s="142"/>
      <c r="F4" s="142" t="s">
        <v>57</v>
      </c>
      <c r="G4" s="142"/>
      <c r="H4" s="142"/>
    </row>
    <row r="5" spans="2:8" x14ac:dyDescent="0.45">
      <c r="B5" s="5" t="s">
        <v>58</v>
      </c>
      <c r="C5" s="6">
        <v>590</v>
      </c>
      <c r="D5" s="7" t="s">
        <v>59</v>
      </c>
      <c r="F5" s="5" t="s">
        <v>60</v>
      </c>
      <c r="G5" s="8">
        <v>823.7</v>
      </c>
    </row>
    <row r="6" spans="2:8" x14ac:dyDescent="0.45">
      <c r="B6" s="5" t="s">
        <v>61</v>
      </c>
      <c r="C6" s="6">
        <v>22</v>
      </c>
      <c r="D6" s="7" t="s">
        <v>62</v>
      </c>
      <c r="F6" s="5" t="s">
        <v>63</v>
      </c>
      <c r="G6" s="9">
        <v>2504.3000000000002</v>
      </c>
    </row>
    <row r="7" spans="2:8" x14ac:dyDescent="0.45">
      <c r="B7" s="5" t="s">
        <v>64</v>
      </c>
      <c r="C7" s="10">
        <f>C5+C6</f>
        <v>612</v>
      </c>
      <c r="D7" s="7" t="s">
        <v>65</v>
      </c>
      <c r="F7" s="5" t="s">
        <v>66</v>
      </c>
      <c r="G7" s="9">
        <v>2589.8000000000002</v>
      </c>
    </row>
    <row r="8" spans="2:8" x14ac:dyDescent="0.45">
      <c r="B8" s="5" t="s">
        <v>67</v>
      </c>
      <c r="C8" s="6">
        <v>456</v>
      </c>
      <c r="D8" s="7" t="s">
        <v>68</v>
      </c>
      <c r="F8" s="5" t="s">
        <v>69</v>
      </c>
      <c r="G8" s="9">
        <v>756.6</v>
      </c>
    </row>
    <row r="9" spans="2:8" x14ac:dyDescent="0.45">
      <c r="B9" s="5" t="s">
        <v>70</v>
      </c>
      <c r="C9" s="11">
        <f>C5/C8-1</f>
        <v>0.29385964912280693</v>
      </c>
      <c r="D9" s="7" t="s">
        <v>71</v>
      </c>
      <c r="F9" s="5" t="s">
        <v>72</v>
      </c>
      <c r="G9" s="9">
        <v>673.8</v>
      </c>
    </row>
    <row r="10" spans="2:8" x14ac:dyDescent="0.45">
      <c r="B10" s="5" t="s">
        <v>73</v>
      </c>
      <c r="C10" s="11">
        <f>C7/C8-1</f>
        <v>0.34210526315789469</v>
      </c>
      <c r="D10" s="7" t="s">
        <v>74</v>
      </c>
      <c r="F10" s="5" t="s">
        <v>75</v>
      </c>
      <c r="G10" s="12">
        <v>0.23</v>
      </c>
    </row>
    <row r="11" spans="2:8" x14ac:dyDescent="0.45">
      <c r="B11" s="5" t="s">
        <v>76</v>
      </c>
      <c r="C11" s="12">
        <v>0.47</v>
      </c>
      <c r="D11" s="7" t="s">
        <v>77</v>
      </c>
      <c r="F11" s="5" t="s">
        <v>78</v>
      </c>
      <c r="G11" s="13">
        <f>G8*(1-G10)</f>
        <v>582.58199999999999</v>
      </c>
    </row>
    <row r="12" spans="2:8" x14ac:dyDescent="0.45">
      <c r="B12" s="5" t="s">
        <v>79</v>
      </c>
      <c r="C12" s="12">
        <v>0.61</v>
      </c>
      <c r="D12" s="7" t="s">
        <v>77</v>
      </c>
    </row>
    <row r="13" spans="2:8" ht="15" x14ac:dyDescent="0.45">
      <c r="F13" s="142" t="s">
        <v>80</v>
      </c>
      <c r="G13" s="142"/>
      <c r="H13" s="142"/>
    </row>
    <row r="14" spans="2:8" ht="15" x14ac:dyDescent="0.45">
      <c r="B14" s="142" t="s">
        <v>81</v>
      </c>
      <c r="C14" s="142"/>
      <c r="D14" s="142"/>
      <c r="F14" s="5" t="s">
        <v>82</v>
      </c>
      <c r="G14" s="14">
        <f>C20/(G5*1000)</f>
        <v>1.1963608109748697E-2</v>
      </c>
      <c r="H14" s="7" t="s">
        <v>83</v>
      </c>
    </row>
    <row r="15" spans="2:8" x14ac:dyDescent="0.45">
      <c r="B15" s="5" t="s">
        <v>84</v>
      </c>
      <c r="C15" s="6">
        <v>1610.2</v>
      </c>
      <c r="D15" s="7" t="s">
        <v>85</v>
      </c>
      <c r="F15" s="5" t="s">
        <v>86</v>
      </c>
      <c r="G15" s="15">
        <f>C20/G6</f>
        <v>3.9350013975961349</v>
      </c>
      <c r="H15" s="7" t="s">
        <v>87</v>
      </c>
    </row>
    <row r="16" spans="2:8" x14ac:dyDescent="0.45">
      <c r="B16" s="5" t="s">
        <v>88</v>
      </c>
      <c r="C16" s="13">
        <f>C5/100*C15</f>
        <v>9500.18</v>
      </c>
      <c r="D16" s="7" t="s">
        <v>89</v>
      </c>
      <c r="F16" s="5" t="s">
        <v>90</v>
      </c>
      <c r="G16" s="15">
        <f>C20/G8</f>
        <v>13.024615384615386</v>
      </c>
      <c r="H16" s="7" t="s">
        <v>91</v>
      </c>
    </row>
    <row r="17" spans="2:8" x14ac:dyDescent="0.45">
      <c r="B17" s="5" t="s">
        <v>92</v>
      </c>
      <c r="C17" s="13">
        <f>C7/100*C15</f>
        <v>9854.4240000000009</v>
      </c>
      <c r="D17" s="7" t="s">
        <v>93</v>
      </c>
      <c r="F17" s="5" t="s">
        <v>94</v>
      </c>
      <c r="G17" s="15">
        <f>C17/G9</f>
        <v>14.625146927871775</v>
      </c>
      <c r="H17" s="7" t="s">
        <v>95</v>
      </c>
    </row>
    <row r="18" spans="2:8" x14ac:dyDescent="0.45">
      <c r="B18" s="5" t="s">
        <v>96</v>
      </c>
      <c r="C18" s="9">
        <v>0</v>
      </c>
      <c r="D18" s="7" t="s">
        <v>97</v>
      </c>
      <c r="F18" s="5" t="s">
        <v>98</v>
      </c>
      <c r="G18" s="15">
        <f>C17/G11</f>
        <v>16.915084915084918</v>
      </c>
      <c r="H18" s="7" t="s">
        <v>99</v>
      </c>
    </row>
    <row r="19" spans="2:8" x14ac:dyDescent="0.45">
      <c r="B19" s="5" t="s">
        <v>100</v>
      </c>
      <c r="C19" s="9">
        <v>0</v>
      </c>
      <c r="D19" s="7" t="s">
        <v>101</v>
      </c>
      <c r="F19" s="5" t="s">
        <v>102</v>
      </c>
      <c r="G19" s="14">
        <f>G6/(G5*1000)</f>
        <v>3.0403059366274133E-3</v>
      </c>
      <c r="H19" s="7" t="s">
        <v>103</v>
      </c>
    </row>
    <row r="20" spans="2:8" x14ac:dyDescent="0.45">
      <c r="B20" s="16" t="s">
        <v>104</v>
      </c>
      <c r="C20" s="17">
        <f>C17+C18-C19</f>
        <v>9854.4240000000009</v>
      </c>
      <c r="D20" s="7" t="s">
        <v>105</v>
      </c>
    </row>
    <row r="22" spans="2:8" ht="15" x14ac:dyDescent="0.45">
      <c r="B22" s="142" t="s">
        <v>106</v>
      </c>
      <c r="C22" s="142"/>
      <c r="D22" s="142"/>
      <c r="E22" s="142"/>
      <c r="F22" s="142"/>
      <c r="G22" s="142"/>
      <c r="H22" s="142"/>
    </row>
    <row r="23" spans="2:8" ht="15" customHeight="1" x14ac:dyDescent="0.45">
      <c r="B23" s="18" t="s">
        <v>107</v>
      </c>
      <c r="C23" s="141" t="s">
        <v>108</v>
      </c>
      <c r="D23" s="141"/>
      <c r="E23" s="141"/>
      <c r="F23" s="141"/>
      <c r="G23" s="141"/>
      <c r="H23" s="141"/>
    </row>
    <row r="24" spans="2:8" ht="15" customHeight="1" x14ac:dyDescent="0.45">
      <c r="B24" s="18" t="s">
        <v>109</v>
      </c>
      <c r="C24" s="141" t="s">
        <v>110</v>
      </c>
      <c r="D24" s="141"/>
      <c r="E24" s="141"/>
      <c r="F24" s="141"/>
      <c r="G24" s="141"/>
      <c r="H24" s="141"/>
    </row>
    <row r="25" spans="2:8" ht="15" customHeight="1" x14ac:dyDescent="0.45">
      <c r="B25" s="18" t="s">
        <v>111</v>
      </c>
      <c r="C25" s="141" t="s">
        <v>112</v>
      </c>
      <c r="D25" s="141"/>
      <c r="E25" s="141"/>
      <c r="F25" s="141"/>
      <c r="G25" s="141"/>
      <c r="H25" s="141"/>
    </row>
    <row r="26" spans="2:8" ht="15" customHeight="1" x14ac:dyDescent="0.45">
      <c r="B26" s="18" t="s">
        <v>113</v>
      </c>
      <c r="C26" s="141" t="s">
        <v>114</v>
      </c>
      <c r="D26" s="141"/>
      <c r="E26" s="141"/>
      <c r="F26" s="141"/>
      <c r="G26" s="141"/>
      <c r="H26" s="141"/>
    </row>
    <row r="27" spans="2:8" ht="15" customHeight="1" x14ac:dyDescent="0.45">
      <c r="B27" s="18" t="s">
        <v>115</v>
      </c>
      <c r="C27" s="141" t="s">
        <v>116</v>
      </c>
      <c r="D27" s="141"/>
      <c r="E27" s="141"/>
      <c r="F27" s="141"/>
      <c r="G27" s="141"/>
      <c r="H27" s="141"/>
    </row>
    <row r="28" spans="2:8" ht="15" customHeight="1" x14ac:dyDescent="0.45">
      <c r="B28" s="18" t="s">
        <v>117</v>
      </c>
      <c r="C28" s="141" t="s">
        <v>118</v>
      </c>
      <c r="D28" s="141"/>
      <c r="E28" s="141"/>
      <c r="F28" s="141"/>
      <c r="G28" s="141"/>
      <c r="H28" s="141"/>
    </row>
    <row r="29" spans="2:8" ht="15" customHeight="1" x14ac:dyDescent="0.45">
      <c r="B29" s="18" t="s">
        <v>119</v>
      </c>
      <c r="C29" s="141" t="s">
        <v>120</v>
      </c>
      <c r="D29" s="141"/>
      <c r="E29" s="141"/>
      <c r="F29" s="141"/>
      <c r="G29" s="141"/>
      <c r="H29" s="141"/>
    </row>
    <row r="30" spans="2:8" ht="15" customHeight="1" x14ac:dyDescent="0.45">
      <c r="B30" s="18" t="s">
        <v>121</v>
      </c>
      <c r="C30" s="141" t="s">
        <v>122</v>
      </c>
      <c r="D30" s="141"/>
      <c r="E30" s="141"/>
      <c r="F30" s="141"/>
      <c r="G30" s="141"/>
      <c r="H30" s="141"/>
    </row>
    <row r="31" spans="2:8" ht="15" customHeight="1" x14ac:dyDescent="0.45">
      <c r="B31" s="18" t="s">
        <v>123</v>
      </c>
      <c r="C31" s="141" t="s">
        <v>124</v>
      </c>
      <c r="D31" s="141"/>
      <c r="E31" s="141"/>
      <c r="F31" s="141"/>
      <c r="G31" s="141"/>
      <c r="H31" s="141"/>
    </row>
    <row r="32" spans="2:8" ht="15" customHeight="1" x14ac:dyDescent="0.45">
      <c r="B32" s="18" t="s">
        <v>125</v>
      </c>
      <c r="C32" s="141" t="s">
        <v>126</v>
      </c>
      <c r="D32" s="141"/>
      <c r="E32" s="141"/>
      <c r="F32" s="141"/>
      <c r="G32" s="141"/>
      <c r="H32" s="141"/>
    </row>
    <row r="34" spans="2:8" ht="15" x14ac:dyDescent="0.45">
      <c r="B34" s="142" t="s">
        <v>127</v>
      </c>
      <c r="C34" s="142"/>
      <c r="D34" s="142"/>
      <c r="E34" s="142"/>
      <c r="F34" s="142"/>
      <c r="G34" s="142"/>
      <c r="H34" s="142"/>
    </row>
    <row r="35" spans="2:8" ht="15" customHeight="1" x14ac:dyDescent="0.45">
      <c r="B35" s="140" t="s">
        <v>128</v>
      </c>
      <c r="C35" s="140"/>
      <c r="D35" s="140"/>
      <c r="E35" s="140"/>
      <c r="F35" s="140"/>
      <c r="G35" s="140"/>
      <c r="H35" s="140"/>
    </row>
    <row r="36" spans="2:8" ht="15" customHeight="1" x14ac:dyDescent="0.45">
      <c r="B36" s="140" t="s">
        <v>129</v>
      </c>
      <c r="C36" s="140"/>
      <c r="D36" s="140"/>
      <c r="E36" s="140"/>
      <c r="F36" s="140"/>
      <c r="G36" s="140"/>
      <c r="H36" s="140"/>
    </row>
    <row r="37" spans="2:8" ht="15" customHeight="1" x14ac:dyDescent="0.45">
      <c r="B37" s="140" t="s">
        <v>130</v>
      </c>
      <c r="C37" s="140"/>
      <c r="D37" s="140"/>
      <c r="E37" s="140"/>
      <c r="F37" s="140"/>
      <c r="G37" s="140"/>
      <c r="H37" s="140"/>
    </row>
    <row r="38" spans="2:8" ht="15" customHeight="1" x14ac:dyDescent="0.45">
      <c r="B38" s="140" t="s">
        <v>131</v>
      </c>
      <c r="C38" s="140"/>
      <c r="D38" s="140"/>
      <c r="E38" s="140"/>
      <c r="F38" s="140"/>
      <c r="G38" s="140"/>
      <c r="H38" s="140"/>
    </row>
    <row r="39" spans="2:8" ht="15" customHeight="1" x14ac:dyDescent="0.45">
      <c r="B39" s="140" t="s">
        <v>132</v>
      </c>
      <c r="C39" s="140"/>
      <c r="D39" s="140"/>
      <c r="E39" s="140"/>
      <c r="F39" s="140"/>
      <c r="G39" s="140"/>
      <c r="H39" s="140"/>
    </row>
  </sheetData>
  <mergeCells count="23">
    <mergeCell ref="B1:H1"/>
    <mergeCell ref="B2:H2"/>
    <mergeCell ref="B4:D4"/>
    <mergeCell ref="F4:H4"/>
    <mergeCell ref="F13:H13"/>
    <mergeCell ref="B14:D14"/>
    <mergeCell ref="B22:H22"/>
    <mergeCell ref="C23:H23"/>
    <mergeCell ref="C24:H24"/>
    <mergeCell ref="C25:H25"/>
    <mergeCell ref="C26:H26"/>
    <mergeCell ref="C27:H27"/>
    <mergeCell ref="C28:H28"/>
    <mergeCell ref="C29:H29"/>
    <mergeCell ref="C30:H30"/>
    <mergeCell ref="B37:H37"/>
    <mergeCell ref="B38:H38"/>
    <mergeCell ref="B39:H39"/>
    <mergeCell ref="C31:H31"/>
    <mergeCell ref="C32:H32"/>
    <mergeCell ref="B34:H34"/>
    <mergeCell ref="B35:H35"/>
    <mergeCell ref="B36:H3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6F54"/>
  </sheetPr>
  <dimension ref="B1:S29"/>
  <sheetViews>
    <sheetView showGridLines="0" zoomScaleNormal="100" workbookViewId="0"/>
  </sheetViews>
  <sheetFormatPr defaultColWidth="8.6640625" defaultRowHeight="14.25" x14ac:dyDescent="0.45"/>
  <cols>
    <col min="1" max="1" width="2.46484375" customWidth="1"/>
    <col min="2" max="2" width="24" customWidth="1"/>
    <col min="3" max="3" width="6" customWidth="1"/>
    <col min="4" max="5" width="11" customWidth="1"/>
    <col min="6" max="6" width="12" customWidth="1"/>
    <col min="7" max="7" width="11" customWidth="1"/>
    <col min="8" max="9" width="12" customWidth="1"/>
    <col min="10" max="10" width="11" customWidth="1"/>
    <col min="11" max="11" width="12" customWidth="1"/>
    <col min="12" max="12" width="11" customWidth="1"/>
    <col min="13" max="13" width="10" customWidth="1"/>
    <col min="14" max="14" width="11" customWidth="1"/>
    <col min="15" max="15" width="10" customWidth="1"/>
    <col min="16" max="16" width="12" customWidth="1"/>
    <col min="17" max="17" width="10" customWidth="1"/>
    <col min="18" max="18" width="3" customWidth="1"/>
    <col min="19" max="19" width="30" customWidth="1"/>
  </cols>
  <sheetData>
    <row r="1" spans="2:19" ht="17.649999999999999" x14ac:dyDescent="0.5">
      <c r="B1" s="143" t="s">
        <v>133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2:19" x14ac:dyDescent="0.45">
      <c r="B2" s="144" t="s">
        <v>134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4" spans="2:19" x14ac:dyDescent="0.45">
      <c r="B4" s="147" t="s">
        <v>135</v>
      </c>
      <c r="C4" s="147"/>
      <c r="D4" s="147"/>
      <c r="E4" s="147"/>
      <c r="F4" s="147"/>
      <c r="G4" s="147" t="s">
        <v>136</v>
      </c>
      <c r="H4" s="147"/>
      <c r="I4" s="147"/>
      <c r="J4" s="147"/>
      <c r="K4" s="147"/>
      <c r="L4" s="147"/>
      <c r="M4" s="147"/>
      <c r="N4" s="147" t="s">
        <v>137</v>
      </c>
      <c r="O4" s="147"/>
      <c r="P4" s="147"/>
      <c r="Q4" s="147"/>
    </row>
    <row r="5" spans="2:19" ht="41" customHeight="1" x14ac:dyDescent="0.45">
      <c r="B5" s="19" t="s">
        <v>138</v>
      </c>
      <c r="C5" s="19" t="s">
        <v>139</v>
      </c>
      <c r="D5" s="19" t="s">
        <v>140</v>
      </c>
      <c r="E5" s="19" t="s">
        <v>141</v>
      </c>
      <c r="F5" s="19" t="s">
        <v>142</v>
      </c>
      <c r="G5" s="19" t="s">
        <v>143</v>
      </c>
      <c r="H5" s="19" t="s">
        <v>144</v>
      </c>
      <c r="I5" s="19" t="s">
        <v>145</v>
      </c>
      <c r="J5" s="19" t="s">
        <v>146</v>
      </c>
      <c r="K5" s="19" t="s">
        <v>147</v>
      </c>
      <c r="L5" s="19" t="s">
        <v>148</v>
      </c>
      <c r="M5" s="19" t="s">
        <v>149</v>
      </c>
      <c r="N5" s="19" t="s">
        <v>150</v>
      </c>
      <c r="O5" s="19" t="s">
        <v>151</v>
      </c>
      <c r="P5" s="19" t="s">
        <v>152</v>
      </c>
      <c r="Q5" s="19" t="s">
        <v>153</v>
      </c>
    </row>
    <row r="6" spans="2:19" x14ac:dyDescent="0.45">
      <c r="B6" s="20" t="s">
        <v>154</v>
      </c>
      <c r="C6" s="21" t="s">
        <v>155</v>
      </c>
      <c r="D6" s="22">
        <v>84.85</v>
      </c>
      <c r="E6" s="23">
        <v>204.8</v>
      </c>
      <c r="F6" s="24">
        <f t="shared" ref="F6:F12" si="0">D6*E6</f>
        <v>17377.28</v>
      </c>
      <c r="G6" s="23">
        <v>990</v>
      </c>
      <c r="H6" s="24">
        <f t="shared" ref="H6:H12" si="1">F6+G6</f>
        <v>18367.28</v>
      </c>
      <c r="I6" s="25">
        <v>2380</v>
      </c>
      <c r="J6" s="23">
        <v>3417</v>
      </c>
      <c r="K6" s="23">
        <v>1636</v>
      </c>
      <c r="L6" s="23">
        <v>1354</v>
      </c>
      <c r="M6" s="26">
        <f t="shared" ref="M6:M12" si="2">J6/(I6*1000)</f>
        <v>1.4357142857142856E-3</v>
      </c>
      <c r="N6" s="27">
        <f t="shared" ref="N6:N12" si="3">H6/(I6*1000)</f>
        <v>7.7173445378151259E-3</v>
      </c>
      <c r="O6" s="28">
        <f t="shared" ref="O6:O12" si="4">H6/J6</f>
        <v>5.3752648522095399</v>
      </c>
      <c r="P6" s="28">
        <f t="shared" ref="P6:P12" si="5">H6/K6</f>
        <v>11.226943765281172</v>
      </c>
      <c r="Q6" s="28">
        <f t="shared" ref="Q6:Q12" si="6">F6/L6</f>
        <v>12.834032496307238</v>
      </c>
      <c r="S6" s="29" t="s">
        <v>156</v>
      </c>
    </row>
    <row r="7" spans="2:19" x14ac:dyDescent="0.45">
      <c r="B7" s="20" t="s">
        <v>157</v>
      </c>
      <c r="C7" s="21" t="s">
        <v>155</v>
      </c>
      <c r="D7" s="22">
        <v>56</v>
      </c>
      <c r="E7" s="23">
        <v>200</v>
      </c>
      <c r="F7" s="24">
        <f t="shared" si="0"/>
        <v>11200</v>
      </c>
      <c r="G7" s="23">
        <v>-1500</v>
      </c>
      <c r="H7" s="24">
        <f t="shared" si="1"/>
        <v>9700</v>
      </c>
      <c r="I7" s="25">
        <v>1085</v>
      </c>
      <c r="J7" s="23">
        <v>3155</v>
      </c>
      <c r="K7" s="23">
        <v>1324</v>
      </c>
      <c r="L7" s="23">
        <v>927</v>
      </c>
      <c r="M7" s="26">
        <f t="shared" si="2"/>
        <v>2.9078341013824885E-3</v>
      </c>
      <c r="N7" s="27">
        <f t="shared" si="3"/>
        <v>8.9400921658986179E-3</v>
      </c>
      <c r="O7" s="28">
        <f t="shared" si="4"/>
        <v>3.0744849445324882</v>
      </c>
      <c r="P7" s="28">
        <f t="shared" si="5"/>
        <v>7.3262839879154082</v>
      </c>
      <c r="Q7" s="28">
        <f t="shared" si="6"/>
        <v>12.081984897518877</v>
      </c>
      <c r="S7" s="29" t="s">
        <v>158</v>
      </c>
    </row>
    <row r="8" spans="2:19" x14ac:dyDescent="0.45">
      <c r="B8" s="20" t="s">
        <v>159</v>
      </c>
      <c r="C8" s="21" t="s">
        <v>160</v>
      </c>
      <c r="D8" s="22">
        <v>2.08</v>
      </c>
      <c r="E8" s="23">
        <v>1789.1</v>
      </c>
      <c r="F8" s="24">
        <f t="shared" si="0"/>
        <v>3721.328</v>
      </c>
      <c r="G8" s="23">
        <v>300</v>
      </c>
      <c r="H8" s="24">
        <f t="shared" si="1"/>
        <v>4021.328</v>
      </c>
      <c r="I8" s="25">
        <v>556</v>
      </c>
      <c r="J8" s="23">
        <v>1340</v>
      </c>
      <c r="K8" s="23">
        <v>264</v>
      </c>
      <c r="L8" s="23">
        <v>388</v>
      </c>
      <c r="M8" s="26">
        <f t="shared" si="2"/>
        <v>2.4100719424460433E-3</v>
      </c>
      <c r="N8" s="27">
        <f t="shared" si="3"/>
        <v>7.2326043165467629E-3</v>
      </c>
      <c r="O8" s="28">
        <f t="shared" si="4"/>
        <v>3.0009910447761192</v>
      </c>
      <c r="P8" s="28">
        <f t="shared" si="5"/>
        <v>15.232303030303029</v>
      </c>
      <c r="Q8" s="28">
        <f t="shared" si="6"/>
        <v>9.5910515463917534</v>
      </c>
      <c r="S8" s="29" t="s">
        <v>161</v>
      </c>
    </row>
    <row r="9" spans="2:19" x14ac:dyDescent="0.45">
      <c r="B9" s="20" t="s">
        <v>162</v>
      </c>
      <c r="C9" s="21" t="s">
        <v>163</v>
      </c>
      <c r="D9" s="22">
        <v>3.53</v>
      </c>
      <c r="E9" s="23">
        <v>1400</v>
      </c>
      <c r="F9" s="24">
        <f t="shared" si="0"/>
        <v>4942</v>
      </c>
      <c r="G9" s="23">
        <v>-300</v>
      </c>
      <c r="H9" s="24">
        <f t="shared" si="1"/>
        <v>4642</v>
      </c>
      <c r="I9" s="25">
        <v>227.6</v>
      </c>
      <c r="J9" s="23">
        <v>1400</v>
      </c>
      <c r="K9" s="23">
        <v>407</v>
      </c>
      <c r="L9" s="23">
        <v>300</v>
      </c>
      <c r="M9" s="26">
        <f t="shared" si="2"/>
        <v>6.1511423550087872E-3</v>
      </c>
      <c r="N9" s="27">
        <f t="shared" si="3"/>
        <v>2.039543057996485E-2</v>
      </c>
      <c r="O9" s="28">
        <f t="shared" si="4"/>
        <v>3.3157142857142858</v>
      </c>
      <c r="P9" s="28">
        <f t="shared" si="5"/>
        <v>11.405405405405405</v>
      </c>
      <c r="Q9" s="28">
        <f t="shared" si="6"/>
        <v>16.473333333333333</v>
      </c>
      <c r="S9" s="29" t="s">
        <v>164</v>
      </c>
    </row>
    <row r="10" spans="2:19" x14ac:dyDescent="0.45">
      <c r="B10" s="20" t="s">
        <v>165</v>
      </c>
      <c r="C10" s="21" t="s">
        <v>160</v>
      </c>
      <c r="D10" s="22">
        <v>1.56</v>
      </c>
      <c r="E10" s="23">
        <v>545</v>
      </c>
      <c r="F10" s="24">
        <f t="shared" si="0"/>
        <v>850.2</v>
      </c>
      <c r="G10" s="23">
        <v>-280</v>
      </c>
      <c r="H10" s="24">
        <f t="shared" si="1"/>
        <v>570.20000000000005</v>
      </c>
      <c r="I10" s="25">
        <v>54</v>
      </c>
      <c r="J10" s="23">
        <v>431</v>
      </c>
      <c r="K10" s="23">
        <v>77</v>
      </c>
      <c r="L10" s="23">
        <v>106</v>
      </c>
      <c r="M10" s="26">
        <f t="shared" si="2"/>
        <v>7.9814814814814818E-3</v>
      </c>
      <c r="N10" s="27">
        <f t="shared" si="3"/>
        <v>1.055925925925926E-2</v>
      </c>
      <c r="O10" s="28">
        <f t="shared" si="4"/>
        <v>1.3229698375870071</v>
      </c>
      <c r="P10" s="28">
        <f t="shared" si="5"/>
        <v>7.4051948051948058</v>
      </c>
      <c r="Q10" s="28">
        <f t="shared" si="6"/>
        <v>8.0207547169811324</v>
      </c>
      <c r="S10" s="29" t="s">
        <v>166</v>
      </c>
    </row>
    <row r="11" spans="2:19" x14ac:dyDescent="0.45">
      <c r="B11" s="20" t="s">
        <v>167</v>
      </c>
      <c r="C11" s="21" t="s">
        <v>160</v>
      </c>
      <c r="D11" s="22">
        <v>2.65</v>
      </c>
      <c r="E11" s="23">
        <v>64</v>
      </c>
      <c r="F11" s="24">
        <f t="shared" si="0"/>
        <v>169.6</v>
      </c>
      <c r="G11" s="23">
        <v>-45</v>
      </c>
      <c r="H11" s="24">
        <f t="shared" si="1"/>
        <v>124.6</v>
      </c>
      <c r="I11" s="25">
        <v>21.5</v>
      </c>
      <c r="J11" s="23">
        <v>147</v>
      </c>
      <c r="K11" s="23">
        <v>30</v>
      </c>
      <c r="L11" s="23">
        <v>17</v>
      </c>
      <c r="M11" s="26">
        <f t="shared" si="2"/>
        <v>6.8372093023255816E-3</v>
      </c>
      <c r="N11" s="27">
        <f t="shared" si="3"/>
        <v>5.7953488372093024E-3</v>
      </c>
      <c r="O11" s="28">
        <f t="shared" si="4"/>
        <v>0.84761904761904761</v>
      </c>
      <c r="P11" s="28">
        <f t="shared" si="5"/>
        <v>4.1533333333333333</v>
      </c>
      <c r="Q11" s="28">
        <f t="shared" si="6"/>
        <v>9.9764705882352942</v>
      </c>
      <c r="S11" s="29" t="s">
        <v>168</v>
      </c>
    </row>
    <row r="12" spans="2:19" x14ac:dyDescent="0.45">
      <c r="B12" s="20" t="s">
        <v>169</v>
      </c>
      <c r="C12" s="21" t="s">
        <v>160</v>
      </c>
      <c r="D12" s="22">
        <v>5.62</v>
      </c>
      <c r="E12" s="23">
        <v>96</v>
      </c>
      <c r="F12" s="24">
        <f t="shared" si="0"/>
        <v>539.52</v>
      </c>
      <c r="G12" s="23">
        <v>-300</v>
      </c>
      <c r="H12" s="24">
        <f t="shared" si="1"/>
        <v>239.51999999999998</v>
      </c>
      <c r="I12" s="25">
        <v>21.4</v>
      </c>
      <c r="J12" s="23">
        <v>230</v>
      </c>
      <c r="K12" s="23">
        <v>55</v>
      </c>
      <c r="L12" s="23">
        <v>42</v>
      </c>
      <c r="M12" s="26">
        <f t="shared" si="2"/>
        <v>1.074766355140187E-2</v>
      </c>
      <c r="N12" s="27">
        <f t="shared" si="3"/>
        <v>1.1192523364485981E-2</v>
      </c>
      <c r="O12" s="28">
        <f t="shared" si="4"/>
        <v>1.041391304347826</v>
      </c>
      <c r="P12" s="28">
        <f t="shared" si="5"/>
        <v>4.3549090909090902</v>
      </c>
      <c r="Q12" s="28">
        <f t="shared" si="6"/>
        <v>12.845714285714285</v>
      </c>
      <c r="S12" s="29" t="s">
        <v>170</v>
      </c>
    </row>
    <row r="13" spans="2:19" x14ac:dyDescent="0.45">
      <c r="B13" s="30" t="s">
        <v>171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2">
        <f>AVERAGE(M6:M12)</f>
        <v>5.4958738599657914E-3</v>
      </c>
      <c r="N13" s="32">
        <f>AVERAGE(N6:N12)</f>
        <v>1.0261800437311414E-2</v>
      </c>
      <c r="O13" s="33">
        <f>AVERAGE(O6:O12)</f>
        <v>2.5683479023980449</v>
      </c>
      <c r="P13" s="33">
        <f>AVERAGE(P6:P12)</f>
        <v>8.7291962026203205</v>
      </c>
      <c r="Q13" s="33">
        <f>AVERAGE(Q6:Q12)</f>
        <v>11.68904883778313</v>
      </c>
    </row>
    <row r="14" spans="2:19" x14ac:dyDescent="0.45">
      <c r="B14" s="34" t="s">
        <v>172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6">
        <f>MEDIAN(M6:M12)</f>
        <v>6.1511423550087872E-3</v>
      </c>
      <c r="N14" s="37">
        <f>MEDIAN(N6:N12)</f>
        <v>8.9400921658986179E-3</v>
      </c>
      <c r="O14" s="38">
        <f>MEDIAN(O6:O12)</f>
        <v>3.0009910447761192</v>
      </c>
      <c r="P14" s="38">
        <f>MEDIAN(P6:P12)</f>
        <v>7.4051948051948058</v>
      </c>
      <c r="Q14" s="38">
        <f>MEDIAN(Q6:Q12)</f>
        <v>12.081984897518877</v>
      </c>
    </row>
    <row r="15" spans="2:19" x14ac:dyDescent="0.45">
      <c r="B15" s="30" t="s">
        <v>173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>
        <f>QUARTILE(M6:M12,1)</f>
        <v>2.6589530219142659E-3</v>
      </c>
      <c r="N15" s="32">
        <f>QUARTILE(N6:N12,1)</f>
        <v>7.4749744271809439E-3</v>
      </c>
      <c r="O15" s="33">
        <f>QUARTILE(O6:O12,1)</f>
        <v>1.1821805709674167</v>
      </c>
      <c r="P15" s="33">
        <f>QUARTILE(P6:P12,1)</f>
        <v>5.8405965394122497</v>
      </c>
      <c r="Q15" s="33">
        <f>QUARTILE(Q6:Q12,1)</f>
        <v>9.7837610673135238</v>
      </c>
    </row>
    <row r="16" spans="2:19" x14ac:dyDescent="0.45">
      <c r="B16" s="30" t="s">
        <v>174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>
        <f>QUARTILE(M6:M12,3)</f>
        <v>7.4093453919035317E-3</v>
      </c>
      <c r="N16" s="32">
        <f>QUARTILE(N6:N12,3)</f>
        <v>1.087589131187262E-2</v>
      </c>
      <c r="O16" s="33">
        <f>QUARTILE(O6:O12,3)</f>
        <v>3.1950996151233868</v>
      </c>
      <c r="P16" s="33">
        <f>QUARTILE(P6:P12,3)</f>
        <v>11.316174585343289</v>
      </c>
      <c r="Q16" s="33">
        <f>QUARTILE(Q6:Q12,3)</f>
        <v>12.839873391010762</v>
      </c>
    </row>
    <row r="17" spans="2:19" x14ac:dyDescent="0.45">
      <c r="B17" s="30" t="s">
        <v>175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>
        <f>MAX(M6:M12)</f>
        <v>1.074766355140187E-2</v>
      </c>
      <c r="N17" s="32">
        <f>MAX(N6:N12)</f>
        <v>2.039543057996485E-2</v>
      </c>
      <c r="O17" s="33">
        <f>MAX(O6:O12)</f>
        <v>5.3752648522095399</v>
      </c>
      <c r="P17" s="33">
        <f>MAX(P6:P12)</f>
        <v>15.232303030303029</v>
      </c>
      <c r="Q17" s="33">
        <f>MAX(Q6:Q12)</f>
        <v>16.473333333333333</v>
      </c>
    </row>
    <row r="18" spans="2:19" x14ac:dyDescent="0.45">
      <c r="B18" s="30" t="s">
        <v>176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>
        <f>MIN(M6:M12)</f>
        <v>1.4357142857142856E-3</v>
      </c>
      <c r="N18" s="32">
        <f>MIN(N6:N12)</f>
        <v>5.7953488372093024E-3</v>
      </c>
      <c r="O18" s="33">
        <f>MIN(O6:O12)</f>
        <v>0.84761904761904761</v>
      </c>
      <c r="P18" s="33">
        <f>MIN(P6:P12)</f>
        <v>4.1533333333333333</v>
      </c>
      <c r="Q18" s="33">
        <f>MIN(Q6:Q12)</f>
        <v>8.0207547169811324</v>
      </c>
    </row>
    <row r="20" spans="2:19" x14ac:dyDescent="0.45">
      <c r="B20" s="145" t="s">
        <v>177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</row>
    <row r="21" spans="2:19" x14ac:dyDescent="0.45">
      <c r="B21" s="39" t="s">
        <v>178</v>
      </c>
      <c r="C21" s="40" t="s">
        <v>160</v>
      </c>
      <c r="D21" s="41">
        <v>6.12</v>
      </c>
      <c r="E21" s="42">
        <v>1610.2</v>
      </c>
      <c r="F21" s="43">
        <f>D21*E21</f>
        <v>9854.4240000000009</v>
      </c>
      <c r="G21" s="42">
        <v>0</v>
      </c>
      <c r="H21" s="43">
        <f>F21+G21</f>
        <v>9854.4240000000009</v>
      </c>
      <c r="I21" s="44">
        <v>823.7</v>
      </c>
      <c r="J21" s="42">
        <v>2504.3000000000002</v>
      </c>
      <c r="K21" s="42">
        <v>756.6</v>
      </c>
      <c r="L21" s="42">
        <v>582.6</v>
      </c>
      <c r="M21" s="45">
        <f>J21/(I21*1000)</f>
        <v>3.0403059366274133E-3</v>
      </c>
      <c r="N21" s="46">
        <f>H21/(I21*1000)</f>
        <v>1.1963608109748697E-2</v>
      </c>
      <c r="O21" s="47">
        <f>H21/J21</f>
        <v>3.9350013975961349</v>
      </c>
      <c r="P21" s="47">
        <f>H21/K21</f>
        <v>13.024615384615386</v>
      </c>
      <c r="Q21" s="47">
        <f>F21/L21</f>
        <v>16.914562306900105</v>
      </c>
      <c r="S21" s="29" t="s">
        <v>179</v>
      </c>
    </row>
    <row r="22" spans="2:19" x14ac:dyDescent="0.45">
      <c r="B22" s="48" t="s">
        <v>180</v>
      </c>
      <c r="C22" s="21" t="s">
        <v>160</v>
      </c>
      <c r="D22" s="22">
        <v>4.5599999999999996</v>
      </c>
      <c r="E22" s="23">
        <v>1610.2</v>
      </c>
      <c r="F22" s="24">
        <f>D22*E22</f>
        <v>7342.5119999999997</v>
      </c>
      <c r="G22" s="23">
        <v>0</v>
      </c>
      <c r="H22" s="24">
        <f>F22+G22</f>
        <v>7342.5119999999997</v>
      </c>
      <c r="I22" s="25">
        <v>823.7</v>
      </c>
      <c r="J22" s="23">
        <v>2504.3000000000002</v>
      </c>
      <c r="K22" s="23">
        <v>756.6</v>
      </c>
      <c r="L22" s="23">
        <v>582.6</v>
      </c>
      <c r="M22" s="26">
        <f>J22/(I22*1000)</f>
        <v>3.0403059366274133E-3</v>
      </c>
      <c r="N22" s="26">
        <f>H22/(I22*1000)</f>
        <v>8.9140609445186349E-3</v>
      </c>
      <c r="O22" s="28">
        <f>H22/J22</f>
        <v>2.9319618256598647</v>
      </c>
      <c r="P22" s="28">
        <f>H22/K22</f>
        <v>9.7046153846153835</v>
      </c>
      <c r="Q22" s="28">
        <f>F22/L22</f>
        <v>12.60300720906282</v>
      </c>
    </row>
    <row r="23" spans="2:19" x14ac:dyDescent="0.45">
      <c r="B23" s="30" t="s">
        <v>181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49">
        <f>N21/N14-1</f>
        <v>0.33819740196673553</v>
      </c>
      <c r="O23" s="49">
        <f>O21/O14-1</f>
        <v>0.31123396867373687</v>
      </c>
      <c r="P23" s="49">
        <f>P21/P14-1</f>
        <v>0.75884844723848577</v>
      </c>
      <c r="Q23" s="49">
        <f>Q21/Q14-1</f>
        <v>0.39998207665146412</v>
      </c>
    </row>
    <row r="25" spans="2:19" x14ac:dyDescent="0.45">
      <c r="B25" s="50" t="s">
        <v>182</v>
      </c>
    </row>
    <row r="26" spans="2:19" ht="25.5" customHeight="1" x14ac:dyDescent="0.45">
      <c r="B26" s="146" t="s">
        <v>183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2:19" ht="25.5" customHeight="1" x14ac:dyDescent="0.45">
      <c r="B27" s="146" t="s">
        <v>184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2:19" ht="25.5" customHeight="1" x14ac:dyDescent="0.45">
      <c r="B28" s="146" t="s">
        <v>185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2:19" ht="25.5" customHeight="1" x14ac:dyDescent="0.45">
      <c r="B29" s="146" t="s">
        <v>186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</sheetData>
  <mergeCells count="10">
    <mergeCell ref="B1:S1"/>
    <mergeCell ref="B2:S2"/>
    <mergeCell ref="B4:F4"/>
    <mergeCell ref="G4:M4"/>
    <mergeCell ref="N4:Q4"/>
    <mergeCell ref="B20:Q20"/>
    <mergeCell ref="B26:Q26"/>
    <mergeCell ref="B27:Q27"/>
    <mergeCell ref="B28:Q28"/>
    <mergeCell ref="B29:Q29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6F54"/>
  </sheetPr>
  <dimension ref="B1:N22"/>
  <sheetViews>
    <sheetView showGridLines="0" zoomScaleNormal="100" workbookViewId="0"/>
  </sheetViews>
  <sheetFormatPr defaultColWidth="8.6640625" defaultRowHeight="14.25" x14ac:dyDescent="0.45"/>
  <cols>
    <col min="1" max="1" width="2.46484375" customWidth="1"/>
    <col min="2" max="2" width="11" customWidth="1"/>
    <col min="3" max="3" width="20" customWidth="1"/>
    <col min="4" max="4" width="25" customWidth="1"/>
    <col min="5" max="5" width="9" customWidth="1"/>
    <col min="6" max="6" width="13" customWidth="1"/>
    <col min="7" max="8" width="12" customWidth="1"/>
    <col min="9" max="11" width="11" customWidth="1"/>
    <col min="12" max="12" width="10" customWidth="1"/>
    <col min="13" max="13" width="3" customWidth="1"/>
    <col min="14" max="14" width="34" customWidth="1"/>
  </cols>
  <sheetData>
    <row r="1" spans="2:14" ht="17.649999999999999" x14ac:dyDescent="0.5">
      <c r="B1" s="143" t="s">
        <v>187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4" x14ac:dyDescent="0.45">
      <c r="B2" s="144" t="s">
        <v>188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4" spans="2:14" x14ac:dyDescent="0.45">
      <c r="B4" s="147" t="s">
        <v>189</v>
      </c>
      <c r="C4" s="147"/>
      <c r="D4" s="147"/>
      <c r="E4" s="147"/>
      <c r="F4" s="147" t="s">
        <v>190</v>
      </c>
      <c r="G4" s="147"/>
      <c r="H4" s="147"/>
      <c r="I4" s="147" t="s">
        <v>191</v>
      </c>
      <c r="J4" s="147"/>
      <c r="K4" s="147"/>
      <c r="L4" s="147"/>
    </row>
    <row r="5" spans="2:14" ht="27.75" customHeight="1" x14ac:dyDescent="0.45">
      <c r="B5" s="19" t="s">
        <v>192</v>
      </c>
      <c r="C5" s="19" t="s">
        <v>193</v>
      </c>
      <c r="D5" s="19" t="s">
        <v>194</v>
      </c>
      <c r="E5" s="19" t="s">
        <v>195</v>
      </c>
      <c r="F5" s="19" t="s">
        <v>196</v>
      </c>
      <c r="G5" s="19" t="s">
        <v>197</v>
      </c>
      <c r="H5" s="19" t="s">
        <v>198</v>
      </c>
      <c r="I5" s="19" t="s">
        <v>150</v>
      </c>
      <c r="J5" s="19" t="s">
        <v>151</v>
      </c>
      <c r="K5" s="19" t="s">
        <v>152</v>
      </c>
      <c r="L5" s="19" t="s">
        <v>199</v>
      </c>
    </row>
    <row r="6" spans="2:14" x14ac:dyDescent="0.45">
      <c r="B6" s="21" t="s">
        <v>200</v>
      </c>
      <c r="C6" s="51" t="s">
        <v>201</v>
      </c>
      <c r="D6" s="52" t="s">
        <v>202</v>
      </c>
      <c r="E6" s="21" t="s">
        <v>203</v>
      </c>
      <c r="F6" s="53">
        <v>688</v>
      </c>
      <c r="G6" s="54">
        <v>4500</v>
      </c>
      <c r="H6" s="54">
        <v>6500</v>
      </c>
      <c r="I6" s="55">
        <f t="shared" ref="I6:I11" si="0">H6/(F6*1000)</f>
        <v>9.4476744186046506E-3</v>
      </c>
      <c r="J6" s="56">
        <f>H6/2800</f>
        <v>2.3214285714285716</v>
      </c>
      <c r="K6" s="57" t="s">
        <v>204</v>
      </c>
      <c r="L6" s="57" t="s">
        <v>204</v>
      </c>
      <c r="N6" s="29" t="s">
        <v>205</v>
      </c>
    </row>
    <row r="7" spans="2:14" x14ac:dyDescent="0.45">
      <c r="B7" s="21" t="s">
        <v>206</v>
      </c>
      <c r="C7" s="51" t="s">
        <v>207</v>
      </c>
      <c r="D7" s="52" t="s">
        <v>208</v>
      </c>
      <c r="E7" s="21" t="s">
        <v>203</v>
      </c>
      <c r="F7" s="53">
        <v>507</v>
      </c>
      <c r="G7" s="54">
        <v>7000</v>
      </c>
      <c r="H7" s="54">
        <v>7000</v>
      </c>
      <c r="I7" s="55">
        <f t="shared" si="0"/>
        <v>1.3806706114398421E-2</v>
      </c>
      <c r="J7" s="56">
        <f>H7/1730</f>
        <v>4.0462427745664744</v>
      </c>
      <c r="K7" s="57" t="s">
        <v>204</v>
      </c>
      <c r="L7" s="58">
        <v>0.38</v>
      </c>
      <c r="N7" s="29" t="s">
        <v>209</v>
      </c>
    </row>
    <row r="8" spans="2:14" x14ac:dyDescent="0.45">
      <c r="B8" s="21" t="s">
        <v>210</v>
      </c>
      <c r="C8" s="51" t="s">
        <v>211</v>
      </c>
      <c r="D8" s="52" t="s">
        <v>212</v>
      </c>
      <c r="E8" s="21" t="s">
        <v>203</v>
      </c>
      <c r="F8" s="53">
        <v>67.900000000000006</v>
      </c>
      <c r="G8" s="54">
        <v>1700</v>
      </c>
      <c r="H8" s="54">
        <v>700</v>
      </c>
      <c r="I8" s="55">
        <f t="shared" si="0"/>
        <v>1.0309278350515464E-2</v>
      </c>
      <c r="J8" s="57" t="s">
        <v>204</v>
      </c>
      <c r="K8" s="57" t="s">
        <v>204</v>
      </c>
      <c r="L8" s="58">
        <v>0.48</v>
      </c>
      <c r="N8" s="29" t="s">
        <v>213</v>
      </c>
    </row>
    <row r="9" spans="2:14" x14ac:dyDescent="0.45">
      <c r="B9" s="21" t="s">
        <v>214</v>
      </c>
      <c r="C9" s="51" t="s">
        <v>215</v>
      </c>
      <c r="D9" s="52" t="s">
        <v>216</v>
      </c>
      <c r="E9" s="21" t="s">
        <v>203</v>
      </c>
      <c r="F9" s="53">
        <v>106</v>
      </c>
      <c r="G9" s="54">
        <v>12550</v>
      </c>
      <c r="H9" s="54">
        <v>12550</v>
      </c>
      <c r="I9" s="55">
        <f t="shared" si="0"/>
        <v>0.11839622641509434</v>
      </c>
      <c r="J9" s="57" t="s">
        <v>204</v>
      </c>
      <c r="K9" s="57" t="s">
        <v>204</v>
      </c>
      <c r="L9" s="57" t="s">
        <v>204</v>
      </c>
      <c r="N9" s="29" t="s">
        <v>217</v>
      </c>
    </row>
    <row r="10" spans="2:14" x14ac:dyDescent="0.45">
      <c r="B10" s="21" t="s">
        <v>218</v>
      </c>
      <c r="C10" s="51" t="s">
        <v>215</v>
      </c>
      <c r="D10" s="52" t="s">
        <v>219</v>
      </c>
      <c r="E10" s="21" t="s">
        <v>203</v>
      </c>
      <c r="F10" s="53">
        <v>148</v>
      </c>
      <c r="G10" s="54">
        <v>12000</v>
      </c>
      <c r="H10" s="54">
        <v>12000</v>
      </c>
      <c r="I10" s="55">
        <f t="shared" si="0"/>
        <v>8.1081081081081086E-2</v>
      </c>
      <c r="J10" s="57" t="s">
        <v>204</v>
      </c>
      <c r="K10" s="57" t="s">
        <v>204</v>
      </c>
      <c r="L10" s="57" t="s">
        <v>204</v>
      </c>
      <c r="N10" s="29" t="s">
        <v>220</v>
      </c>
    </row>
    <row r="11" spans="2:14" x14ac:dyDescent="0.45">
      <c r="B11" s="21" t="s">
        <v>221</v>
      </c>
      <c r="C11" s="51" t="s">
        <v>222</v>
      </c>
      <c r="D11" s="52" t="s">
        <v>223</v>
      </c>
      <c r="E11" s="21" t="s">
        <v>203</v>
      </c>
      <c r="F11" s="53">
        <v>180</v>
      </c>
      <c r="G11" s="54">
        <v>1800</v>
      </c>
      <c r="H11" s="54">
        <v>1800</v>
      </c>
      <c r="I11" s="55">
        <f t="shared" si="0"/>
        <v>0.01</v>
      </c>
      <c r="J11" s="57" t="s">
        <v>204</v>
      </c>
      <c r="K11" s="57" t="s">
        <v>204</v>
      </c>
      <c r="L11" s="57" t="s">
        <v>204</v>
      </c>
      <c r="N11" s="29" t="s">
        <v>224</v>
      </c>
    </row>
    <row r="12" spans="2:14" x14ac:dyDescent="0.45">
      <c r="B12" s="21" t="s">
        <v>221</v>
      </c>
      <c r="C12" s="51" t="s">
        <v>225</v>
      </c>
      <c r="D12" s="52" t="s">
        <v>226</v>
      </c>
      <c r="E12" s="21" t="s">
        <v>203</v>
      </c>
      <c r="F12" s="53">
        <v>18</v>
      </c>
      <c r="G12" s="59" t="s">
        <v>204</v>
      </c>
      <c r="H12" s="59" t="s">
        <v>204</v>
      </c>
      <c r="I12" s="57" t="s">
        <v>204</v>
      </c>
      <c r="J12" s="57" t="s">
        <v>204</v>
      </c>
      <c r="K12" s="57" t="s">
        <v>204</v>
      </c>
      <c r="L12" s="57" t="s">
        <v>204</v>
      </c>
      <c r="N12" s="29" t="s">
        <v>227</v>
      </c>
    </row>
    <row r="13" spans="2:14" x14ac:dyDescent="0.45">
      <c r="B13" s="21" t="s">
        <v>221</v>
      </c>
      <c r="C13" s="51" t="s">
        <v>228</v>
      </c>
      <c r="D13" s="52" t="s">
        <v>229</v>
      </c>
      <c r="E13" s="21" t="s">
        <v>203</v>
      </c>
      <c r="F13" s="53">
        <v>21</v>
      </c>
      <c r="G13" s="54">
        <v>515</v>
      </c>
      <c r="H13" s="54">
        <v>515</v>
      </c>
      <c r="I13" s="55">
        <f>H13/(F13*1000)</f>
        <v>2.4523809523809524E-2</v>
      </c>
      <c r="J13" s="57" t="s">
        <v>204</v>
      </c>
      <c r="K13" s="57" t="s">
        <v>204</v>
      </c>
      <c r="L13" s="57" t="s">
        <v>204</v>
      </c>
      <c r="N13" s="29" t="s">
        <v>230</v>
      </c>
    </row>
    <row r="14" spans="2:14" x14ac:dyDescent="0.45">
      <c r="B14" s="148" t="s">
        <v>231</v>
      </c>
      <c r="C14" s="148"/>
      <c r="D14" s="148"/>
      <c r="E14" s="148"/>
      <c r="F14" s="35"/>
      <c r="G14" s="35"/>
      <c r="H14" s="35"/>
      <c r="I14" s="37">
        <f>MEDIAN(I6,I7,I8,I11)</f>
        <v>1.0154639175257732E-2</v>
      </c>
      <c r="J14" s="35"/>
      <c r="K14" s="35"/>
      <c r="L14" s="60">
        <f>MEDIAN(L7,L8)</f>
        <v>0.43</v>
      </c>
    </row>
    <row r="15" spans="2:14" x14ac:dyDescent="0.45">
      <c r="B15" s="149" t="s">
        <v>232</v>
      </c>
      <c r="C15" s="149"/>
      <c r="D15" s="149"/>
      <c r="E15" s="149"/>
      <c r="F15" s="61"/>
      <c r="G15" s="61"/>
      <c r="H15" s="61"/>
      <c r="I15" s="62">
        <f>AVERAGE(I6:I13)</f>
        <v>3.8223539414786213E-2</v>
      </c>
      <c r="J15" s="61"/>
      <c r="K15" s="61"/>
      <c r="L15" s="61"/>
    </row>
    <row r="16" spans="2:14" x14ac:dyDescent="0.45">
      <c r="B16" s="63" t="s">
        <v>233</v>
      </c>
      <c r="C16" s="64" t="s">
        <v>234</v>
      </c>
      <c r="D16" s="64" t="s">
        <v>235</v>
      </c>
      <c r="E16" s="63" t="s">
        <v>203</v>
      </c>
      <c r="F16" s="44">
        <v>1112</v>
      </c>
      <c r="G16" s="42">
        <v>13365</v>
      </c>
      <c r="H16" s="42">
        <v>13365</v>
      </c>
      <c r="I16" s="46">
        <f>H16/(F16*1000)</f>
        <v>1.2018884892086331E-2</v>
      </c>
      <c r="J16" s="65">
        <f>H16/3380</f>
        <v>3.9541420118343193</v>
      </c>
      <c r="K16" s="66" t="s">
        <v>236</v>
      </c>
      <c r="L16" s="67">
        <v>0.34</v>
      </c>
      <c r="N16" s="68" t="s">
        <v>237</v>
      </c>
    </row>
    <row r="18" spans="2:14" x14ac:dyDescent="0.45">
      <c r="B18" s="145" t="s">
        <v>238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2:14" ht="27.75" customHeight="1" x14ac:dyDescent="0.45">
      <c r="B19" s="146" t="s">
        <v>239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</row>
    <row r="20" spans="2:14" ht="27.75" customHeight="1" x14ac:dyDescent="0.45">
      <c r="B20" s="146" t="s">
        <v>240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</row>
    <row r="21" spans="2:14" ht="27.75" customHeight="1" x14ac:dyDescent="0.45">
      <c r="B21" s="146" t="s">
        <v>241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</row>
    <row r="22" spans="2:14" ht="27.75" customHeight="1" x14ac:dyDescent="0.45">
      <c r="B22" s="146" t="s">
        <v>242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</row>
  </sheetData>
  <mergeCells count="12">
    <mergeCell ref="B1:N1"/>
    <mergeCell ref="B2:N2"/>
    <mergeCell ref="B4:E4"/>
    <mergeCell ref="F4:H4"/>
    <mergeCell ref="I4:L4"/>
    <mergeCell ref="B21:N21"/>
    <mergeCell ref="B22:N22"/>
    <mergeCell ref="B14:E14"/>
    <mergeCell ref="B15:E15"/>
    <mergeCell ref="B18:N18"/>
    <mergeCell ref="B19:N19"/>
    <mergeCell ref="B20:N20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F6F54"/>
  </sheetPr>
  <dimension ref="B1:J67"/>
  <sheetViews>
    <sheetView showGridLines="0" zoomScaleNormal="100" workbookViewId="0"/>
  </sheetViews>
  <sheetFormatPr defaultColWidth="8.6640625" defaultRowHeight="14.25" x14ac:dyDescent="0.45"/>
  <cols>
    <col min="1" max="1" width="2.46484375" customWidth="1"/>
    <col min="2" max="2" width="40" customWidth="1"/>
    <col min="3" max="8" width="13" customWidth="1"/>
    <col min="9" max="9" width="3" customWidth="1"/>
    <col min="10" max="10" width="43.796875" customWidth="1"/>
  </cols>
  <sheetData>
    <row r="1" spans="2:10" ht="17.649999999999999" x14ac:dyDescent="0.5">
      <c r="B1" s="143" t="s">
        <v>243</v>
      </c>
      <c r="C1" s="143"/>
      <c r="D1" s="143"/>
      <c r="E1" s="143"/>
      <c r="F1" s="143"/>
      <c r="G1" s="143"/>
      <c r="H1" s="143"/>
      <c r="I1" s="143"/>
      <c r="J1" s="143"/>
    </row>
    <row r="2" spans="2:10" x14ac:dyDescent="0.45">
      <c r="B2" s="144" t="s">
        <v>244</v>
      </c>
      <c r="C2" s="144"/>
      <c r="D2" s="144"/>
      <c r="E2" s="144"/>
      <c r="F2" s="144"/>
      <c r="G2" s="144"/>
      <c r="H2" s="144"/>
      <c r="I2" s="144"/>
      <c r="J2" s="144"/>
    </row>
    <row r="4" spans="2:10" ht="15" x14ac:dyDescent="0.45">
      <c r="B4" s="142" t="s">
        <v>245</v>
      </c>
      <c r="C4" s="142"/>
      <c r="D4" s="142"/>
      <c r="E4" s="142"/>
      <c r="F4" s="142"/>
      <c r="G4" s="142"/>
      <c r="H4" s="142"/>
    </row>
    <row r="5" spans="2:10" x14ac:dyDescent="0.45">
      <c r="B5" s="69" t="s">
        <v>246</v>
      </c>
      <c r="C5" s="70" t="s">
        <v>247</v>
      </c>
      <c r="D5" s="144" t="s">
        <v>248</v>
      </c>
      <c r="E5" s="144"/>
      <c r="F5" s="144"/>
      <c r="G5" s="144"/>
      <c r="H5" s="144"/>
    </row>
    <row r="7" spans="2:10" x14ac:dyDescent="0.45">
      <c r="B7" s="71" t="s">
        <v>249</v>
      </c>
      <c r="C7" s="72" t="s">
        <v>250</v>
      </c>
      <c r="D7" s="72" t="s">
        <v>247</v>
      </c>
      <c r="E7" s="72" t="s">
        <v>251</v>
      </c>
      <c r="F7" s="72" t="s">
        <v>252</v>
      </c>
      <c r="G7" s="151" t="s">
        <v>253</v>
      </c>
      <c r="H7" s="151"/>
      <c r="I7" s="151"/>
      <c r="J7" s="151"/>
    </row>
    <row r="8" spans="2:10" x14ac:dyDescent="0.45">
      <c r="B8" s="48" t="s">
        <v>254</v>
      </c>
      <c r="C8" s="73">
        <v>-0.02</v>
      </c>
      <c r="D8" s="73">
        <v>0.03</v>
      </c>
      <c r="E8" s="73">
        <v>0.06</v>
      </c>
      <c r="F8" s="74">
        <f>INDEX(C8:E8,MATCH($C$5,$C$7:$E$7,0))</f>
        <v>0.03</v>
      </c>
      <c r="G8" s="150" t="s">
        <v>255</v>
      </c>
      <c r="H8" s="150"/>
      <c r="I8" s="150"/>
      <c r="J8" s="150"/>
    </row>
    <row r="9" spans="2:10" x14ac:dyDescent="0.45">
      <c r="B9" s="48" t="s">
        <v>256</v>
      </c>
      <c r="C9" s="73">
        <v>0.26</v>
      </c>
      <c r="D9" s="73">
        <v>0.31</v>
      </c>
      <c r="E9" s="73">
        <v>0.35</v>
      </c>
      <c r="F9" s="74">
        <f>INDEX(C9:E9,MATCH($C$5,$C$7:$E$7,0))</f>
        <v>0.31</v>
      </c>
      <c r="G9" s="150" t="s">
        <v>257</v>
      </c>
      <c r="H9" s="150"/>
      <c r="I9" s="150"/>
      <c r="J9" s="150"/>
    </row>
    <row r="10" spans="2:10" x14ac:dyDescent="0.45">
      <c r="B10" s="48" t="s">
        <v>258</v>
      </c>
      <c r="C10" s="73">
        <v>0.105</v>
      </c>
      <c r="D10" s="73">
        <v>9.5000000000000001E-2</v>
      </c>
      <c r="E10" s="73">
        <v>0.09</v>
      </c>
      <c r="F10" s="74">
        <f>INDEX(C10:E10,MATCH($C$5,$C$7:$E$7,0))</f>
        <v>9.5000000000000001E-2</v>
      </c>
      <c r="G10" s="150" t="s">
        <v>259</v>
      </c>
      <c r="H10" s="150"/>
      <c r="I10" s="150"/>
      <c r="J10" s="150"/>
    </row>
    <row r="11" spans="2:10" x14ac:dyDescent="0.45">
      <c r="B11" s="48" t="s">
        <v>260</v>
      </c>
      <c r="C11" s="73">
        <v>0.01</v>
      </c>
      <c r="D11" s="73">
        <v>0.02</v>
      </c>
      <c r="E11" s="73">
        <v>2.5000000000000001E-2</v>
      </c>
      <c r="F11" s="74">
        <f>INDEX(C11:E11,MATCH($C$5,$C$7:$E$7,0))</f>
        <v>0.02</v>
      </c>
      <c r="G11" s="150" t="s">
        <v>261</v>
      </c>
      <c r="H11" s="150"/>
      <c r="I11" s="150"/>
      <c r="J11" s="150"/>
    </row>
    <row r="12" spans="2:10" x14ac:dyDescent="0.45">
      <c r="B12" s="48" t="s">
        <v>262</v>
      </c>
      <c r="C12" s="76">
        <v>7</v>
      </c>
      <c r="D12" s="76">
        <v>9</v>
      </c>
      <c r="E12" s="76">
        <v>11</v>
      </c>
      <c r="F12" s="77">
        <f>INDEX(C12:E12,MATCH($C$5,$C$7:$E$7,0))</f>
        <v>9</v>
      </c>
      <c r="G12" s="150" t="s">
        <v>263</v>
      </c>
      <c r="H12" s="150"/>
      <c r="I12" s="150"/>
      <c r="J12" s="150"/>
    </row>
    <row r="14" spans="2:10" ht="15" x14ac:dyDescent="0.45">
      <c r="B14" s="142" t="s">
        <v>264</v>
      </c>
      <c r="C14" s="142"/>
      <c r="D14" s="142"/>
      <c r="E14" s="142"/>
      <c r="F14" s="142"/>
      <c r="G14" s="142"/>
      <c r="H14" s="142"/>
    </row>
    <row r="15" spans="2:10" x14ac:dyDescent="0.45">
      <c r="B15" s="78" t="s">
        <v>63</v>
      </c>
      <c r="C15" s="79">
        <v>2504.3000000000002</v>
      </c>
      <c r="D15" s="150" t="s">
        <v>265</v>
      </c>
      <c r="E15" s="150"/>
      <c r="F15" s="150"/>
      <c r="G15" s="150"/>
      <c r="H15" s="150"/>
    </row>
    <row r="16" spans="2:10" x14ac:dyDescent="0.45">
      <c r="B16" s="78" t="s">
        <v>266</v>
      </c>
      <c r="C16" s="79">
        <v>756.6</v>
      </c>
      <c r="D16" s="150" t="s">
        <v>267</v>
      </c>
      <c r="E16" s="150"/>
      <c r="F16" s="150"/>
      <c r="G16" s="150"/>
      <c r="H16" s="150"/>
    </row>
    <row r="17" spans="2:8" x14ac:dyDescent="0.45">
      <c r="B17" s="78" t="s">
        <v>268</v>
      </c>
      <c r="C17" s="80">
        <v>0.23</v>
      </c>
      <c r="D17" s="150" t="s">
        <v>269</v>
      </c>
      <c r="E17" s="150"/>
      <c r="F17" s="150"/>
      <c r="G17" s="150"/>
      <c r="H17" s="150"/>
    </row>
    <row r="18" spans="2:8" x14ac:dyDescent="0.45">
      <c r="B18" s="78" t="s">
        <v>270</v>
      </c>
      <c r="C18" s="81">
        <v>1.4999999999999999E-2</v>
      </c>
      <c r="D18" s="150" t="s">
        <v>271</v>
      </c>
      <c r="E18" s="150"/>
      <c r="F18" s="150"/>
      <c r="G18" s="150"/>
      <c r="H18" s="150"/>
    </row>
    <row r="19" spans="2:8" x14ac:dyDescent="0.45">
      <c r="B19" s="78" t="s">
        <v>272</v>
      </c>
      <c r="C19" s="81">
        <v>0.02</v>
      </c>
      <c r="D19" s="150" t="s">
        <v>273</v>
      </c>
      <c r="E19" s="150"/>
      <c r="F19" s="150"/>
      <c r="G19" s="150"/>
      <c r="H19" s="150"/>
    </row>
    <row r="20" spans="2:8" x14ac:dyDescent="0.45">
      <c r="B20" s="78" t="s">
        <v>274</v>
      </c>
      <c r="C20" s="81">
        <v>5.0000000000000001E-3</v>
      </c>
      <c r="D20" s="150" t="s">
        <v>275</v>
      </c>
      <c r="E20" s="150"/>
      <c r="F20" s="150"/>
      <c r="G20" s="150"/>
      <c r="H20" s="150"/>
    </row>
    <row r="21" spans="2:8" x14ac:dyDescent="0.45">
      <c r="B21" s="78" t="s">
        <v>276</v>
      </c>
      <c r="C21" s="81">
        <v>4.4999999999999998E-2</v>
      </c>
      <c r="D21" s="150" t="s">
        <v>277</v>
      </c>
      <c r="E21" s="150"/>
      <c r="F21" s="150"/>
      <c r="G21" s="150"/>
      <c r="H21" s="150"/>
    </row>
    <row r="22" spans="2:8" x14ac:dyDescent="0.45">
      <c r="B22" s="78" t="s">
        <v>278</v>
      </c>
      <c r="C22" s="81">
        <v>5.5E-2</v>
      </c>
      <c r="D22" s="150" t="s">
        <v>279</v>
      </c>
      <c r="E22" s="150"/>
      <c r="F22" s="150"/>
      <c r="G22" s="150"/>
      <c r="H22" s="150"/>
    </row>
    <row r="23" spans="2:8" x14ac:dyDescent="0.45">
      <c r="B23" s="78" t="s">
        <v>280</v>
      </c>
      <c r="C23" s="82">
        <v>1.2</v>
      </c>
      <c r="D23" s="150" t="s">
        <v>281</v>
      </c>
      <c r="E23" s="150"/>
      <c r="F23" s="150"/>
      <c r="G23" s="150"/>
      <c r="H23" s="150"/>
    </row>
    <row r="24" spans="2:8" x14ac:dyDescent="0.45">
      <c r="B24" s="78" t="s">
        <v>282</v>
      </c>
      <c r="C24" s="83">
        <f>C21+C23*C22</f>
        <v>0.111</v>
      </c>
      <c r="D24" s="150" t="s">
        <v>283</v>
      </c>
      <c r="E24" s="150"/>
      <c r="F24" s="150"/>
      <c r="G24" s="150"/>
      <c r="H24" s="150"/>
    </row>
    <row r="25" spans="2:8" x14ac:dyDescent="0.45">
      <c r="B25" s="78" t="s">
        <v>284</v>
      </c>
      <c r="C25" s="79">
        <v>0</v>
      </c>
      <c r="D25" s="150" t="s">
        <v>285</v>
      </c>
      <c r="E25" s="150"/>
      <c r="F25" s="150"/>
      <c r="G25" s="150"/>
      <c r="H25" s="150"/>
    </row>
    <row r="26" spans="2:8" x14ac:dyDescent="0.45">
      <c r="B26" s="78" t="s">
        <v>286</v>
      </c>
      <c r="C26" s="84">
        <v>1610.2</v>
      </c>
      <c r="D26" s="150" t="s">
        <v>287</v>
      </c>
      <c r="E26" s="150"/>
      <c r="F26" s="150"/>
      <c r="G26" s="150"/>
      <c r="H26" s="150"/>
    </row>
    <row r="28" spans="2:8" ht="15" x14ac:dyDescent="0.45">
      <c r="B28" s="142" t="s">
        <v>288</v>
      </c>
      <c r="C28" s="142"/>
      <c r="D28" s="142"/>
      <c r="E28" s="142"/>
      <c r="F28" s="142"/>
      <c r="G28" s="142"/>
      <c r="H28" s="142"/>
    </row>
    <row r="29" spans="2:8" x14ac:dyDescent="0.45">
      <c r="B29" s="71" t="s">
        <v>289</v>
      </c>
      <c r="C29" s="72" t="s">
        <v>290</v>
      </c>
      <c r="D29" s="72" t="s">
        <v>291</v>
      </c>
      <c r="E29" s="72" t="s">
        <v>292</v>
      </c>
      <c r="F29" s="72" t="s">
        <v>293</v>
      </c>
      <c r="G29" s="72" t="s">
        <v>294</v>
      </c>
    </row>
    <row r="30" spans="2:8" x14ac:dyDescent="0.45">
      <c r="B30" s="85" t="s">
        <v>295</v>
      </c>
      <c r="C30" s="86">
        <f>C15*(1+S_CAGR)</f>
        <v>2579.4290000000001</v>
      </c>
      <c r="D30" s="86">
        <f>C30*(1+S_CAGR)</f>
        <v>2656.81187</v>
      </c>
      <c r="E30" s="86">
        <f>D30*(1+S_CAGR)</f>
        <v>2736.5162261</v>
      </c>
      <c r="F30" s="86">
        <f>E30*(1+S_CAGR)</f>
        <v>2818.6117128830001</v>
      </c>
      <c r="G30" s="86">
        <f>F30*(1+S_CAGR)</f>
        <v>2903.17006426949</v>
      </c>
    </row>
    <row r="31" spans="2:8" x14ac:dyDescent="0.45">
      <c r="B31" s="85" t="s">
        <v>296</v>
      </c>
      <c r="C31" s="86">
        <f>C30*S_Margin</f>
        <v>799.62299000000007</v>
      </c>
      <c r="D31" s="86">
        <f>D30*S_Margin</f>
        <v>823.61167969999997</v>
      </c>
      <c r="E31" s="86">
        <f>E30*S_Margin</f>
        <v>848.32003009100004</v>
      </c>
      <c r="F31" s="86">
        <f>F30*S_Margin</f>
        <v>873.76963099373006</v>
      </c>
      <c r="G31" s="86">
        <f>G30*S_Margin</f>
        <v>899.98271992354194</v>
      </c>
    </row>
    <row r="32" spans="2:8" x14ac:dyDescent="0.45">
      <c r="B32" s="85" t="s">
        <v>297</v>
      </c>
      <c r="C32" s="86">
        <f>-C30*C18</f>
        <v>-38.691434999999998</v>
      </c>
      <c r="D32" s="86">
        <f>-D30*C18</f>
        <v>-39.852178049999999</v>
      </c>
      <c r="E32" s="86">
        <f>-E30*C18</f>
        <v>-41.047743391499999</v>
      </c>
      <c r="F32" s="86">
        <f>-F30*C18</f>
        <v>-42.279175693245001</v>
      </c>
      <c r="G32" s="86">
        <f>-G30*C18</f>
        <v>-43.547550964042351</v>
      </c>
    </row>
    <row r="33" spans="2:8" x14ac:dyDescent="0.45">
      <c r="B33" s="85" t="s">
        <v>298</v>
      </c>
      <c r="C33" s="86">
        <f>C31+C32</f>
        <v>760.93155500000012</v>
      </c>
      <c r="D33" s="86">
        <f>D31+D32</f>
        <v>783.75950164999995</v>
      </c>
      <c r="E33" s="86">
        <f>E31+E32</f>
        <v>807.2722866995</v>
      </c>
      <c r="F33" s="86">
        <f>F31+F32</f>
        <v>831.49045530048511</v>
      </c>
      <c r="G33" s="86">
        <f>G31+G32</f>
        <v>856.43516895949961</v>
      </c>
    </row>
    <row r="34" spans="2:8" x14ac:dyDescent="0.45">
      <c r="B34" s="85" t="s">
        <v>299</v>
      </c>
      <c r="C34" s="86">
        <f>C33*(1-C17)</f>
        <v>585.91729735000013</v>
      </c>
      <c r="D34" s="86">
        <f>D33*(1-C17)</f>
        <v>603.4948162705</v>
      </c>
      <c r="E34" s="86">
        <f>E33*(1-C17)</f>
        <v>621.59966075861496</v>
      </c>
      <c r="F34" s="86">
        <f>F33*(1-C17)</f>
        <v>640.24765058137359</v>
      </c>
      <c r="G34" s="86">
        <f>G33*(1-C17)</f>
        <v>659.45508009881473</v>
      </c>
    </row>
    <row r="35" spans="2:8" x14ac:dyDescent="0.45">
      <c r="B35" s="85" t="s">
        <v>300</v>
      </c>
      <c r="C35" s="86">
        <f>C30*C18</f>
        <v>38.691434999999998</v>
      </c>
      <c r="D35" s="86">
        <f>D30*C18</f>
        <v>39.852178049999999</v>
      </c>
      <c r="E35" s="86">
        <f>E30*C18</f>
        <v>41.047743391499999</v>
      </c>
      <c r="F35" s="86">
        <f>F30*C18</f>
        <v>42.279175693245001</v>
      </c>
      <c r="G35" s="86">
        <f>G30*C18</f>
        <v>43.547550964042351</v>
      </c>
    </row>
    <row r="36" spans="2:8" x14ac:dyDescent="0.45">
      <c r="B36" s="85" t="s">
        <v>301</v>
      </c>
      <c r="C36" s="86">
        <f>-C30*C19</f>
        <v>-51.58858</v>
      </c>
      <c r="D36" s="86">
        <f>-D30*C19</f>
        <v>-53.136237399999999</v>
      </c>
      <c r="E36" s="86">
        <f>-E30*C19</f>
        <v>-54.730324522000004</v>
      </c>
      <c r="F36" s="86">
        <f>-F30*C19</f>
        <v>-56.372234257660004</v>
      </c>
      <c r="G36" s="86">
        <f>-G30*C19</f>
        <v>-58.063401285389801</v>
      </c>
    </row>
    <row r="37" spans="2:8" x14ac:dyDescent="0.45">
      <c r="B37" s="85" t="s">
        <v>302</v>
      </c>
      <c r="C37" s="86">
        <f>-C30*C20</f>
        <v>-12.897145</v>
      </c>
      <c r="D37" s="86">
        <f>-D30*C20</f>
        <v>-13.28405935</v>
      </c>
      <c r="E37" s="86">
        <f>-E30*C20</f>
        <v>-13.682581130500001</v>
      </c>
      <c r="F37" s="86">
        <f>-F30*C20</f>
        <v>-14.093058564415001</v>
      </c>
      <c r="G37" s="86">
        <f>-G30*C20</f>
        <v>-14.51585032134745</v>
      </c>
    </row>
    <row r="38" spans="2:8" x14ac:dyDescent="0.45">
      <c r="B38" s="87" t="s">
        <v>303</v>
      </c>
      <c r="C38" s="88">
        <f>C34+C35+C36+C37</f>
        <v>560.12300735000008</v>
      </c>
      <c r="D38" s="88">
        <f>D34+D35+D36+D37</f>
        <v>576.92669757049998</v>
      </c>
      <c r="E38" s="88">
        <f>E34+E35+E36+E37</f>
        <v>594.23449849761494</v>
      </c>
      <c r="F38" s="88">
        <f>F34+F35+F36+F37</f>
        <v>612.06153345254359</v>
      </c>
      <c r="G38" s="88">
        <f>G34+G35+G36+G37</f>
        <v>630.42337945611985</v>
      </c>
    </row>
    <row r="39" spans="2:8" x14ac:dyDescent="0.45">
      <c r="B39" s="85" t="s">
        <v>304</v>
      </c>
      <c r="C39" s="89">
        <f>1/(1+S_WACC)^1</f>
        <v>0.91324200913242015</v>
      </c>
      <c r="D39" s="89">
        <f>1/(1+S_WACC)^2</f>
        <v>0.8340109672442193</v>
      </c>
      <c r="E39" s="89">
        <f>1/(1+S_WACC)^3</f>
        <v>0.76165385136458386</v>
      </c>
      <c r="F39" s="89">
        <f>1/(1+S_WACC)^4</f>
        <v>0.6955742934836382</v>
      </c>
      <c r="G39" s="89">
        <f>1/(1+S_WACC)^5</f>
        <v>0.63522766528186136</v>
      </c>
    </row>
    <row r="40" spans="2:8" x14ac:dyDescent="0.45">
      <c r="B40" s="85" t="s">
        <v>305</v>
      </c>
      <c r="C40" s="86">
        <f>C38*C39</f>
        <v>511.52786059360739</v>
      </c>
      <c r="D40" s="86">
        <f>D38*D39</f>
        <v>481.1631930697859</v>
      </c>
      <c r="E40" s="86">
        <f>E38*E39</f>
        <v>452.60099439441046</v>
      </c>
      <c r="F40" s="86">
        <f>F38*F39</f>
        <v>425.73426869976521</v>
      </c>
      <c r="G40" s="86">
        <f>G38*G39</f>
        <v>400.46237147101198</v>
      </c>
    </row>
    <row r="42" spans="2:8" ht="15" x14ac:dyDescent="0.45">
      <c r="B42" s="142" t="s">
        <v>306</v>
      </c>
      <c r="C42" s="142"/>
      <c r="D42" s="142"/>
      <c r="E42" s="142"/>
      <c r="F42" s="142"/>
      <c r="G42" s="142"/>
      <c r="H42" s="142"/>
    </row>
    <row r="43" spans="2:8" x14ac:dyDescent="0.45">
      <c r="B43" s="78" t="s">
        <v>307</v>
      </c>
      <c r="C43" s="90">
        <f>SUM(C40:G40)</f>
        <v>2271.4886882285809</v>
      </c>
    </row>
    <row r="44" spans="2:8" x14ac:dyDescent="0.45">
      <c r="B44" s="78" t="s">
        <v>308</v>
      </c>
      <c r="C44" s="90">
        <f>G38*(1+S_TermG)/(S_WACC-S_TermG)</f>
        <v>8573.7579606032305</v>
      </c>
    </row>
    <row r="45" spans="2:8" x14ac:dyDescent="0.45">
      <c r="B45" s="78" t="s">
        <v>309</v>
      </c>
      <c r="C45" s="90">
        <f>G31*S_Exit</f>
        <v>8099.8444793118779</v>
      </c>
    </row>
    <row r="46" spans="2:8" x14ac:dyDescent="0.45">
      <c r="B46" s="78" t="s">
        <v>310</v>
      </c>
      <c r="C46" s="90">
        <f>AVERAGE(C44,C45)</f>
        <v>8336.8012199575533</v>
      </c>
    </row>
    <row r="47" spans="2:8" x14ac:dyDescent="0.45">
      <c r="B47" s="78" t="s">
        <v>311</v>
      </c>
      <c r="C47" s="90">
        <f>C46*G39</f>
        <v>5295.7667748726099</v>
      </c>
    </row>
    <row r="48" spans="2:8" x14ac:dyDescent="0.45">
      <c r="B48" s="91" t="s">
        <v>312</v>
      </c>
      <c r="C48" s="92">
        <f>C43+C47</f>
        <v>7567.2554631011908</v>
      </c>
    </row>
    <row r="49" spans="2:10" x14ac:dyDescent="0.45">
      <c r="B49" s="78" t="s">
        <v>313</v>
      </c>
      <c r="C49" s="90">
        <f>C25</f>
        <v>0</v>
      </c>
    </row>
    <row r="50" spans="2:10" x14ac:dyDescent="0.45">
      <c r="B50" s="91" t="s">
        <v>314</v>
      </c>
      <c r="C50" s="92">
        <f>C48+C49</f>
        <v>7567.2554631011908</v>
      </c>
    </row>
    <row r="51" spans="2:10" x14ac:dyDescent="0.45">
      <c r="B51" s="78" t="s">
        <v>315</v>
      </c>
      <c r="C51" s="93">
        <f>C26</f>
        <v>1610.2</v>
      </c>
    </row>
    <row r="52" spans="2:10" x14ac:dyDescent="0.45">
      <c r="B52" s="91" t="s">
        <v>316</v>
      </c>
      <c r="C52" s="94">
        <f>C50/C51</f>
        <v>4.6995748746125887</v>
      </c>
    </row>
    <row r="53" spans="2:10" x14ac:dyDescent="0.45">
      <c r="B53" s="91" t="s">
        <v>317</v>
      </c>
      <c r="C53" s="95">
        <f>C52*100</f>
        <v>469.95748746125889</v>
      </c>
    </row>
    <row r="55" spans="2:10" x14ac:dyDescent="0.45">
      <c r="B55" s="87" t="s">
        <v>318</v>
      </c>
      <c r="C55" s="96">
        <v>612</v>
      </c>
    </row>
    <row r="56" spans="2:10" x14ac:dyDescent="0.45">
      <c r="B56" s="91" t="s">
        <v>319</v>
      </c>
      <c r="C56" s="97">
        <f>C55/C53-1</f>
        <v>0.30224545055354701</v>
      </c>
    </row>
    <row r="58" spans="2:10" ht="15" x14ac:dyDescent="0.45">
      <c r="B58" s="142" t="s">
        <v>320</v>
      </c>
      <c r="C58" s="142"/>
      <c r="D58" s="142"/>
      <c r="E58" s="142"/>
      <c r="F58" s="142"/>
      <c r="G58" s="142"/>
      <c r="H58" s="142"/>
    </row>
    <row r="59" spans="2:10" x14ac:dyDescent="0.45">
      <c r="B59" s="71" t="s">
        <v>321</v>
      </c>
      <c r="C59" s="72" t="s">
        <v>250</v>
      </c>
      <c r="D59" s="72" t="s">
        <v>247</v>
      </c>
      <c r="E59" s="72" t="s">
        <v>251</v>
      </c>
    </row>
    <row r="60" spans="2:10" x14ac:dyDescent="0.45">
      <c r="B60" s="98" t="s">
        <v>317</v>
      </c>
      <c r="C60" s="99">
        <f>((($C$15*(1+$C$8)^1*(($C$9-$C$18)*(1-$C$17)+$C$18-$C$19-$C$20)/(1+$C$10)^1+$C$15*(1+$C$8)^2*(($C$9-$C$18)*(1-$C$17)+$C$18-$C$19-$C$20)/(1+$C$10)^2+$C$15*(1+$C$8)^3*(($C$9-$C$18)*(1-$C$17)+$C$18-$C$19-$C$20)/(1+$C$10)^3+$C$15*(1+$C$8)^4*(($C$9-$C$18)*(1-$C$17)+$C$18-$C$19-$C$20)/(1+$C$10)^4+$C$15*(1+$C$8)^5*(($C$9-$C$18)*(1-$C$17)+$C$18-$C$19-$C$20)/(1+$C$10)^5)+(((($C$15*(1+$C$8)^5*(($C$9-$C$18)*(1-$C$17)+$C$18-$C$19-$C$20)*(1+$C$11)/($C$10-$C$11))+($C$15*(1+$C$8)^5*$C$9*$C$12))/2)/(1+$C$10)^5))+$C$25)/$C$26*100</f>
        <v>257.00683682385824</v>
      </c>
      <c r="D60" s="99">
        <f>((($C$15*(1+$D$8)^1*(($D$9-$C$18)*(1-$C$17)+$C$18-$C$19-$C$20)/(1+$D$10)^1+$C$15*(1+$D$8)^2*(($D$9-$C$18)*(1-$C$17)+$C$18-$C$19-$C$20)/(1+$D$10)^2+$C$15*(1+$D$8)^3*(($D$9-$C$18)*(1-$C$17)+$C$18-$C$19-$C$20)/(1+$D$10)^3+$C$15*(1+$D$8)^4*(($D$9-$C$18)*(1-$C$17)+$C$18-$C$19-$C$20)/(1+$D$10)^4+$C$15*(1+$D$8)^5*(($D$9-$C$18)*(1-$C$17)+$C$18-$C$19-$C$20)/(1+$D$10)^5)+(((($C$15*(1+$D$8)^5*(($D$9-$C$18)*(1-$C$17)+$C$18-$C$19-$C$20)*(1+$D$11)/($D$10-$D$11))+($C$15*(1+$D$8)^5*$D$9*$D$12))/2)/(1+$D$10)^5))+$C$25)/$C$26*100</f>
        <v>469.95748746125889</v>
      </c>
      <c r="E60" s="99">
        <f>((($C$15*(1+$E$8)^1*(($E$9-$C$18)*(1-$C$17)+$C$18-$C$19-$C$20)/(1+$E$10)^1+$C$15*(1+$E$8)^2*(($E$9-$C$18)*(1-$C$17)+$C$18-$C$19-$C$20)/(1+$E$10)^2+$C$15*(1+$E$8)^3*(($E$9-$C$18)*(1-$C$17)+$C$18-$C$19-$C$20)/(1+$E$10)^3+$C$15*(1+$E$8)^4*(($E$9-$C$18)*(1-$C$17)+$C$18-$C$19-$C$20)/(1+$E$10)^4+$C$15*(1+$E$8)^5*(($E$9-$C$18)*(1-$C$17)+$C$18-$C$19-$C$20)/(1+$E$10)^5)+(((($C$15*(1+$E$8)^5*(($E$9-$C$18)*(1-$C$17)+$C$18-$C$19-$C$20)*(1+$E$11)/($E$10-$E$11))+($C$15*(1+$E$8)^5*$E$9*$E$12))/2)/(1+$E$10)^5))+$C$25)/$C$26*100</f>
        <v>702.31530607784725</v>
      </c>
    </row>
    <row r="61" spans="2:10" x14ac:dyDescent="0.45">
      <c r="B61" s="100" t="s">
        <v>322</v>
      </c>
      <c r="C61" s="101">
        <f>612/C60-1</f>
        <v>1.3812596099123979</v>
      </c>
      <c r="D61" s="101">
        <f>612/D60-1</f>
        <v>0.30224545055354701</v>
      </c>
      <c r="E61" s="101">
        <f>612/E60-1</f>
        <v>-0.1285965225252208</v>
      </c>
    </row>
    <row r="63" spans="2:10" x14ac:dyDescent="0.45">
      <c r="B63" s="145" t="s">
        <v>323</v>
      </c>
      <c r="C63" s="145"/>
      <c r="D63" s="145"/>
      <c r="E63" s="145"/>
      <c r="F63" s="145"/>
      <c r="G63" s="145"/>
      <c r="H63" s="145"/>
      <c r="I63" s="145"/>
      <c r="J63" s="145"/>
    </row>
    <row r="64" spans="2:10" ht="25.5" customHeight="1" x14ac:dyDescent="0.45">
      <c r="B64" s="146" t="s">
        <v>324</v>
      </c>
      <c r="C64" s="146"/>
      <c r="D64" s="146"/>
      <c r="E64" s="146"/>
      <c r="F64" s="146"/>
      <c r="G64" s="146"/>
      <c r="H64" s="146"/>
      <c r="I64" s="146"/>
      <c r="J64" s="146"/>
    </row>
    <row r="65" spans="2:10" ht="25.5" customHeight="1" x14ac:dyDescent="0.45">
      <c r="B65" s="146" t="s">
        <v>325</v>
      </c>
      <c r="C65" s="146"/>
      <c r="D65" s="146"/>
      <c r="E65" s="146"/>
      <c r="F65" s="146"/>
      <c r="G65" s="146"/>
      <c r="H65" s="146"/>
      <c r="I65" s="146"/>
      <c r="J65" s="146"/>
    </row>
    <row r="66" spans="2:10" ht="25.5" customHeight="1" x14ac:dyDescent="0.45">
      <c r="B66" s="146" t="s">
        <v>326</v>
      </c>
      <c r="C66" s="146"/>
      <c r="D66" s="146"/>
      <c r="E66" s="146"/>
      <c r="F66" s="146"/>
      <c r="G66" s="146"/>
      <c r="H66" s="146"/>
      <c r="I66" s="146"/>
      <c r="J66" s="146"/>
    </row>
    <row r="67" spans="2:10" ht="25.5" customHeight="1" x14ac:dyDescent="0.45">
      <c r="B67" s="146" t="s">
        <v>327</v>
      </c>
      <c r="C67" s="146"/>
      <c r="D67" s="146"/>
      <c r="E67" s="146"/>
      <c r="F67" s="146"/>
      <c r="G67" s="146"/>
      <c r="H67" s="146"/>
      <c r="I67" s="146"/>
      <c r="J67" s="146"/>
    </row>
  </sheetData>
  <mergeCells count="31">
    <mergeCell ref="B1:J1"/>
    <mergeCell ref="B2:J2"/>
    <mergeCell ref="B4:H4"/>
    <mergeCell ref="D5:H5"/>
    <mergeCell ref="G7:J7"/>
    <mergeCell ref="G8:J8"/>
    <mergeCell ref="G9:J9"/>
    <mergeCell ref="G10:J10"/>
    <mergeCell ref="G11:J11"/>
    <mergeCell ref="G12:J12"/>
    <mergeCell ref="B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B28:H28"/>
    <mergeCell ref="B42:H42"/>
    <mergeCell ref="B67:J67"/>
    <mergeCell ref="B58:H58"/>
    <mergeCell ref="B63:J63"/>
    <mergeCell ref="B64:J64"/>
    <mergeCell ref="B65:J65"/>
    <mergeCell ref="B66:J66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6F54"/>
  </sheetPr>
  <dimension ref="B1:G37"/>
  <sheetViews>
    <sheetView showGridLines="0" zoomScaleNormal="100" workbookViewId="0">
      <selection activeCell="C24" sqref="C24"/>
    </sheetView>
  </sheetViews>
  <sheetFormatPr defaultColWidth="8.6640625" defaultRowHeight="14.25" x14ac:dyDescent="0.45"/>
  <cols>
    <col min="1" max="1" width="2.46484375" customWidth="1"/>
    <col min="2" max="2" width="44" customWidth="1"/>
    <col min="3" max="5" width="14" customWidth="1"/>
    <col min="6" max="6" width="4" customWidth="1"/>
    <col min="7" max="7" width="44" customWidth="1"/>
  </cols>
  <sheetData>
    <row r="1" spans="2:7" ht="17.649999999999999" x14ac:dyDescent="0.5">
      <c r="B1" s="143" t="s">
        <v>328</v>
      </c>
      <c r="C1" s="143"/>
      <c r="D1" s="143"/>
      <c r="E1" s="143"/>
      <c r="F1" s="143"/>
      <c r="G1" s="143"/>
    </row>
    <row r="2" spans="2:7" ht="25.5" customHeight="1" x14ac:dyDescent="0.45">
      <c r="B2" s="152" t="s">
        <v>329</v>
      </c>
      <c r="C2" s="152"/>
      <c r="D2" s="152"/>
      <c r="E2" s="152"/>
      <c r="F2" s="152"/>
      <c r="G2" s="152"/>
    </row>
    <row r="4" spans="2:7" ht="15" x14ac:dyDescent="0.45">
      <c r="B4" s="142" t="s">
        <v>330</v>
      </c>
      <c r="C4" s="142"/>
      <c r="D4" s="142"/>
      <c r="E4" s="142"/>
    </row>
    <row r="5" spans="2:7" x14ac:dyDescent="0.45">
      <c r="B5" s="102" t="s">
        <v>331</v>
      </c>
      <c r="C5" s="102" t="s">
        <v>332</v>
      </c>
      <c r="D5" s="102" t="s">
        <v>333</v>
      </c>
      <c r="E5" s="102" t="s">
        <v>334</v>
      </c>
    </row>
    <row r="6" spans="2:7" x14ac:dyDescent="0.45">
      <c r="B6" s="48" t="s">
        <v>335</v>
      </c>
      <c r="C6" s="103">
        <v>200</v>
      </c>
      <c r="D6" s="104">
        <v>0.15</v>
      </c>
      <c r="E6" s="105">
        <f>C6*D6</f>
        <v>30</v>
      </c>
      <c r="G6" s="75" t="s">
        <v>336</v>
      </c>
    </row>
    <row r="7" spans="2:7" x14ac:dyDescent="0.45">
      <c r="B7" s="48" t="s">
        <v>337</v>
      </c>
      <c r="C7" s="103">
        <v>250</v>
      </c>
      <c r="D7" s="104">
        <v>0.1</v>
      </c>
      <c r="E7" s="105">
        <f>C7*D7</f>
        <v>25</v>
      </c>
      <c r="G7" s="75" t="s">
        <v>338</v>
      </c>
    </row>
    <row r="8" spans="2:7" x14ac:dyDescent="0.45">
      <c r="B8" s="48" t="s">
        <v>339</v>
      </c>
      <c r="C8" s="103">
        <v>150</v>
      </c>
      <c r="D8" s="104">
        <v>0.08</v>
      </c>
      <c r="E8" s="105">
        <f>C8*D8</f>
        <v>12</v>
      </c>
      <c r="G8" s="75" t="s">
        <v>340</v>
      </c>
    </row>
    <row r="9" spans="2:7" x14ac:dyDescent="0.45">
      <c r="B9" s="48" t="s">
        <v>341</v>
      </c>
      <c r="C9" s="103">
        <v>1138.5</v>
      </c>
      <c r="D9" s="104">
        <v>0.02</v>
      </c>
      <c r="E9" s="105">
        <f>C9*D9</f>
        <v>22.77</v>
      </c>
      <c r="G9" s="75" t="s">
        <v>342</v>
      </c>
    </row>
    <row r="10" spans="2:7" x14ac:dyDescent="0.45">
      <c r="B10" s="48" t="s">
        <v>343</v>
      </c>
      <c r="C10" s="103">
        <v>100</v>
      </c>
      <c r="D10" s="104">
        <v>0.12</v>
      </c>
      <c r="E10" s="105">
        <f>C10*D10</f>
        <v>12</v>
      </c>
      <c r="G10" s="75" t="s">
        <v>344</v>
      </c>
    </row>
    <row r="11" spans="2:7" x14ac:dyDescent="0.45">
      <c r="B11" s="106" t="s">
        <v>345</v>
      </c>
      <c r="C11" s="35"/>
      <c r="D11" s="35"/>
      <c r="E11" s="107">
        <f>SUM(E6:E10)</f>
        <v>101.77</v>
      </c>
    </row>
    <row r="13" spans="2:7" ht="15" x14ac:dyDescent="0.45">
      <c r="B13" s="142" t="s">
        <v>346</v>
      </c>
      <c r="C13" s="142"/>
      <c r="D13" s="142"/>
      <c r="E13" s="142"/>
    </row>
    <row r="14" spans="2:7" x14ac:dyDescent="0.45">
      <c r="B14" s="102" t="s">
        <v>331</v>
      </c>
      <c r="C14" s="102" t="s">
        <v>347</v>
      </c>
      <c r="D14" s="102" t="s">
        <v>348</v>
      </c>
      <c r="E14" s="102" t="s">
        <v>334</v>
      </c>
    </row>
    <row r="15" spans="2:7" x14ac:dyDescent="0.45">
      <c r="B15" s="48" t="s">
        <v>349</v>
      </c>
      <c r="C15" s="25">
        <v>605.70000000000005</v>
      </c>
      <c r="D15" s="108">
        <v>1.4999999999999999E-2</v>
      </c>
      <c r="E15" s="105">
        <f>C15*1000*D15*0.003</f>
        <v>27.256499999999999</v>
      </c>
      <c r="G15" s="75" t="s">
        <v>350</v>
      </c>
    </row>
    <row r="16" spans="2:7" x14ac:dyDescent="0.45">
      <c r="B16" s="48" t="s">
        <v>351</v>
      </c>
      <c r="C16" s="25">
        <v>200</v>
      </c>
      <c r="D16" s="108">
        <v>0.02</v>
      </c>
      <c r="E16" s="105">
        <f>C16*1000*D16*0.003</f>
        <v>12</v>
      </c>
      <c r="G16" s="75" t="s">
        <v>352</v>
      </c>
    </row>
    <row r="17" spans="2:7" x14ac:dyDescent="0.45">
      <c r="B17" s="48" t="s">
        <v>353</v>
      </c>
      <c r="C17" s="25">
        <v>123.9</v>
      </c>
      <c r="D17" s="108">
        <v>0.01</v>
      </c>
      <c r="E17" s="105">
        <f>C17*1000*D17*0.003</f>
        <v>3.7170000000000001</v>
      </c>
      <c r="G17" s="75" t="s">
        <v>354</v>
      </c>
    </row>
    <row r="18" spans="2:7" x14ac:dyDescent="0.45">
      <c r="B18" s="106" t="s">
        <v>355</v>
      </c>
      <c r="C18" s="35"/>
      <c r="D18" s="35"/>
      <c r="E18" s="107">
        <f>SUM(E15:E17)</f>
        <v>42.973500000000001</v>
      </c>
    </row>
    <row r="20" spans="2:7" ht="15" x14ac:dyDescent="0.45">
      <c r="B20" s="142" t="s">
        <v>356</v>
      </c>
      <c r="C20" s="142"/>
      <c r="D20" s="142"/>
      <c r="E20" s="142"/>
    </row>
    <row r="21" spans="2:7" x14ac:dyDescent="0.45">
      <c r="B21" s="78" t="s">
        <v>357</v>
      </c>
      <c r="C21" s="90">
        <f>E11</f>
        <v>101.77</v>
      </c>
    </row>
    <row r="22" spans="2:7" x14ac:dyDescent="0.45">
      <c r="B22" s="78" t="s">
        <v>358</v>
      </c>
      <c r="C22" s="90">
        <f>E18*0.4</f>
        <v>17.189400000000003</v>
      </c>
    </row>
    <row r="23" spans="2:7" x14ac:dyDescent="0.45">
      <c r="B23" s="91" t="s">
        <v>359</v>
      </c>
      <c r="C23" s="92">
        <f>C21+C22</f>
        <v>118.9594</v>
      </c>
    </row>
    <row r="24" spans="2:7" x14ac:dyDescent="0.45">
      <c r="B24" s="78" t="s">
        <v>360</v>
      </c>
      <c r="C24" s="90">
        <f>-C23*0.23</f>
        <v>-27.360662000000001</v>
      </c>
    </row>
    <row r="25" spans="2:7" x14ac:dyDescent="0.45">
      <c r="B25" s="91" t="s">
        <v>361</v>
      </c>
      <c r="C25" s="92">
        <f>C23+C24</f>
        <v>91.598737999999997</v>
      </c>
    </row>
    <row r="26" spans="2:7" x14ac:dyDescent="0.45">
      <c r="B26" s="78" t="s">
        <v>362</v>
      </c>
      <c r="C26" s="90">
        <f>C23*11</f>
        <v>1308.5534</v>
      </c>
    </row>
    <row r="27" spans="2:7" x14ac:dyDescent="0.45">
      <c r="B27" s="78" t="s">
        <v>363</v>
      </c>
      <c r="C27" s="79">
        <v>-400</v>
      </c>
    </row>
    <row r="28" spans="2:7" x14ac:dyDescent="0.45">
      <c r="B28" s="91" t="s">
        <v>364</v>
      </c>
      <c r="C28" s="109">
        <f>C26+C27</f>
        <v>908.55340000000001</v>
      </c>
    </row>
    <row r="29" spans="2:7" x14ac:dyDescent="0.45">
      <c r="B29" s="78" t="s">
        <v>365</v>
      </c>
      <c r="C29" s="79">
        <v>1900</v>
      </c>
    </row>
    <row r="30" spans="2:7" x14ac:dyDescent="0.45">
      <c r="B30" s="91" t="s">
        <v>366</v>
      </c>
      <c r="C30" s="110">
        <f>C28/C29</f>
        <v>0.478186</v>
      </c>
    </row>
    <row r="32" spans="2:7" x14ac:dyDescent="0.45">
      <c r="B32" s="145" t="s">
        <v>367</v>
      </c>
      <c r="C32" s="145"/>
      <c r="D32" s="145"/>
      <c r="E32" s="145"/>
      <c r="F32" s="145"/>
      <c r="G32" s="145"/>
    </row>
    <row r="33" spans="2:7" ht="25.5" customHeight="1" x14ac:dyDescent="0.45">
      <c r="B33" s="146" t="s">
        <v>368</v>
      </c>
      <c r="C33" s="146"/>
      <c r="D33" s="146"/>
      <c r="E33" s="146"/>
      <c r="F33" s="146"/>
      <c r="G33" s="146"/>
    </row>
    <row r="34" spans="2:7" ht="25.5" customHeight="1" x14ac:dyDescent="0.45">
      <c r="B34" s="146" t="s">
        <v>369</v>
      </c>
      <c r="C34" s="146"/>
      <c r="D34" s="146"/>
      <c r="E34" s="146"/>
      <c r="F34" s="146"/>
      <c r="G34" s="146"/>
    </row>
    <row r="35" spans="2:7" ht="25.5" customHeight="1" x14ac:dyDescent="0.45">
      <c r="B35" s="146" t="s">
        <v>370</v>
      </c>
      <c r="C35" s="146"/>
      <c r="D35" s="146"/>
      <c r="E35" s="146"/>
      <c r="F35" s="146"/>
      <c r="G35" s="146"/>
    </row>
    <row r="36" spans="2:7" ht="25.5" customHeight="1" x14ac:dyDescent="0.45">
      <c r="B36" s="146" t="s">
        <v>371</v>
      </c>
      <c r="C36" s="146"/>
      <c r="D36" s="146"/>
      <c r="E36" s="146"/>
      <c r="F36" s="146"/>
      <c r="G36" s="146"/>
    </row>
    <row r="37" spans="2:7" ht="25.5" customHeight="1" x14ac:dyDescent="0.45">
      <c r="B37" s="146" t="s">
        <v>372</v>
      </c>
      <c r="C37" s="146"/>
      <c r="D37" s="146"/>
      <c r="E37" s="146"/>
      <c r="F37" s="146"/>
      <c r="G37" s="146"/>
    </row>
  </sheetData>
  <mergeCells count="11">
    <mergeCell ref="B1:G1"/>
    <mergeCell ref="B2:G2"/>
    <mergeCell ref="B4:E4"/>
    <mergeCell ref="B13:E13"/>
    <mergeCell ref="B20:E20"/>
    <mergeCell ref="B37:G37"/>
    <mergeCell ref="B32:G32"/>
    <mergeCell ref="B33:G33"/>
    <mergeCell ref="B34:G34"/>
    <mergeCell ref="B35:G35"/>
    <mergeCell ref="B36:G36"/>
  </mergeCells>
  <pageMargins left="0.75" right="0.75" top="1" bottom="1" header="0.511811023622047" footer="0.511811023622047"/>
  <pageSetup paperSize="9" orientation="portrait" horizontalDpi="300" verticalDpi="300"/>
  <ignoredErrors>
    <ignoredError sqref="C2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F6F54"/>
  </sheetPr>
  <dimension ref="B1:G45"/>
  <sheetViews>
    <sheetView showGridLines="0" zoomScaleNormal="100" workbookViewId="0"/>
  </sheetViews>
  <sheetFormatPr defaultColWidth="8.6640625" defaultRowHeight="14.25" x14ac:dyDescent="0.45"/>
  <cols>
    <col min="1" max="1" width="2.46484375" customWidth="1"/>
    <col min="2" max="2" width="40" customWidth="1"/>
    <col min="3" max="5" width="15" customWidth="1"/>
    <col min="6" max="6" width="4" customWidth="1"/>
    <col min="7" max="7" width="48" customWidth="1"/>
  </cols>
  <sheetData>
    <row r="1" spans="2:7" ht="17.649999999999999" x14ac:dyDescent="0.5">
      <c r="B1" s="143" t="s">
        <v>373</v>
      </c>
      <c r="C1" s="143"/>
      <c r="D1" s="143"/>
      <c r="E1" s="143"/>
      <c r="F1" s="143"/>
      <c r="G1" s="143"/>
    </row>
    <row r="3" spans="2:7" ht="15" x14ac:dyDescent="0.45">
      <c r="B3" s="142" t="s">
        <v>374</v>
      </c>
      <c r="C3" s="142"/>
      <c r="D3" s="142"/>
      <c r="E3" s="142"/>
      <c r="F3" s="142"/>
      <c r="G3" s="142"/>
    </row>
    <row r="4" spans="2:7" ht="16.899999999999999" x14ac:dyDescent="0.5">
      <c r="B4" s="158" t="s">
        <v>375</v>
      </c>
      <c r="C4" s="158"/>
      <c r="D4" s="158"/>
      <c r="E4" s="158"/>
      <c r="F4" s="158"/>
      <c r="G4" s="158"/>
    </row>
    <row r="5" spans="2:7" ht="43.5" customHeight="1" x14ac:dyDescent="0.45">
      <c r="B5" s="140" t="s">
        <v>376</v>
      </c>
      <c r="C5" s="140"/>
      <c r="D5" s="140"/>
      <c r="E5" s="140"/>
      <c r="F5" s="140"/>
      <c r="G5" s="140"/>
    </row>
    <row r="6" spans="2:7" ht="43.5" customHeight="1" x14ac:dyDescent="0.45">
      <c r="B6" s="140" t="s">
        <v>377</v>
      </c>
      <c r="C6" s="140"/>
      <c r="D6" s="140"/>
      <c r="E6" s="140"/>
      <c r="F6" s="140"/>
      <c r="G6" s="140"/>
    </row>
    <row r="7" spans="2:7" ht="43.5" customHeight="1" x14ac:dyDescent="0.45">
      <c r="B7" s="140" t="s">
        <v>378</v>
      </c>
      <c r="C7" s="140"/>
      <c r="D7" s="140"/>
      <c r="E7" s="140"/>
      <c r="F7" s="140"/>
      <c r="G7" s="140"/>
    </row>
    <row r="9" spans="2:7" ht="15" x14ac:dyDescent="0.45">
      <c r="B9" s="142" t="s">
        <v>379</v>
      </c>
      <c r="C9" s="142"/>
      <c r="D9" s="142"/>
      <c r="E9" s="142"/>
    </row>
    <row r="10" spans="2:7" x14ac:dyDescent="0.45">
      <c r="B10" s="102" t="s">
        <v>380</v>
      </c>
      <c r="C10" s="102" t="s">
        <v>381</v>
      </c>
      <c r="D10" s="102" t="s">
        <v>382</v>
      </c>
      <c r="E10" s="102" t="s">
        <v>383</v>
      </c>
    </row>
    <row r="11" spans="2:7" x14ac:dyDescent="0.45">
      <c r="B11" s="48" t="s">
        <v>384</v>
      </c>
      <c r="C11" s="23">
        <v>456</v>
      </c>
      <c r="D11" s="23">
        <v>456</v>
      </c>
      <c r="E11" s="111" t="s">
        <v>385</v>
      </c>
    </row>
    <row r="12" spans="2:7" x14ac:dyDescent="0.45">
      <c r="B12" s="48" t="s">
        <v>386</v>
      </c>
      <c r="C12" s="23">
        <v>400</v>
      </c>
      <c r="D12" s="23">
        <v>520</v>
      </c>
      <c r="E12" s="111" t="s">
        <v>387</v>
      </c>
    </row>
    <row r="13" spans="2:7" x14ac:dyDescent="0.45">
      <c r="B13" s="48" t="s">
        <v>388</v>
      </c>
      <c r="C13" s="23">
        <v>257</v>
      </c>
      <c r="D13" s="23">
        <v>702</v>
      </c>
      <c r="E13" s="111" t="s">
        <v>389</v>
      </c>
    </row>
    <row r="14" spans="2:7" x14ac:dyDescent="0.45">
      <c r="B14" s="48" t="s">
        <v>390</v>
      </c>
      <c r="C14" s="23">
        <v>460</v>
      </c>
      <c r="D14" s="23">
        <v>700</v>
      </c>
      <c r="E14" s="111" t="s">
        <v>391</v>
      </c>
    </row>
    <row r="15" spans="2:7" x14ac:dyDescent="0.45">
      <c r="B15" s="48" t="s">
        <v>392</v>
      </c>
      <c r="C15" s="23">
        <v>560</v>
      </c>
      <c r="D15" s="23">
        <v>640</v>
      </c>
      <c r="E15" s="111" t="s">
        <v>393</v>
      </c>
    </row>
    <row r="16" spans="2:7" x14ac:dyDescent="0.45">
      <c r="B16" s="64" t="s">
        <v>394</v>
      </c>
      <c r="C16" s="112">
        <v>612</v>
      </c>
      <c r="D16" s="112">
        <v>612</v>
      </c>
      <c r="E16" s="113" t="s">
        <v>395</v>
      </c>
    </row>
    <row r="18" spans="2:7" ht="15" x14ac:dyDescent="0.45">
      <c r="B18" s="142" t="s">
        <v>396</v>
      </c>
      <c r="C18" s="142"/>
      <c r="D18" s="142"/>
      <c r="E18" s="142"/>
      <c r="F18" s="142"/>
      <c r="G18" s="142"/>
    </row>
    <row r="19" spans="2:7" ht="16.899999999999999" x14ac:dyDescent="0.5">
      <c r="B19" s="157" t="s">
        <v>397</v>
      </c>
      <c r="C19" s="157"/>
      <c r="D19" s="157"/>
      <c r="E19" s="157"/>
      <c r="F19" s="157"/>
      <c r="G19" s="157"/>
    </row>
    <row r="20" spans="2:7" ht="39.75" customHeight="1" x14ac:dyDescent="0.45">
      <c r="B20" s="156" t="s">
        <v>398</v>
      </c>
      <c r="C20" s="156"/>
      <c r="D20" s="156"/>
      <c r="E20" s="156"/>
      <c r="F20" s="156"/>
      <c r="G20" s="156"/>
    </row>
    <row r="21" spans="2:7" ht="39.75" customHeight="1" x14ac:dyDescent="0.45">
      <c r="B21" s="156" t="s">
        <v>399</v>
      </c>
      <c r="C21" s="156"/>
      <c r="D21" s="156"/>
      <c r="E21" s="156"/>
      <c r="F21" s="156"/>
      <c r="G21" s="156"/>
    </row>
    <row r="22" spans="2:7" ht="39.75" customHeight="1" x14ac:dyDescent="0.45">
      <c r="B22" s="156" t="s">
        <v>400</v>
      </c>
      <c r="C22" s="156"/>
      <c r="D22" s="156"/>
      <c r="E22" s="156"/>
      <c r="F22" s="156"/>
      <c r="G22" s="156"/>
    </row>
    <row r="23" spans="2:7" x14ac:dyDescent="0.45">
      <c r="B23" s="2"/>
      <c r="C23" s="2"/>
      <c r="D23" s="2"/>
      <c r="E23" s="2"/>
      <c r="F23" s="2"/>
      <c r="G23" s="2"/>
    </row>
    <row r="24" spans="2:7" ht="15" x14ac:dyDescent="0.45">
      <c r="B24" s="142" t="s">
        <v>401</v>
      </c>
      <c r="C24" s="142"/>
      <c r="D24" s="142"/>
      <c r="E24" s="142"/>
      <c r="F24" s="142"/>
      <c r="G24" s="142"/>
    </row>
    <row r="25" spans="2:7" ht="42" customHeight="1" x14ac:dyDescent="0.45">
      <c r="B25" s="91" t="s">
        <v>402</v>
      </c>
      <c r="C25" s="154" t="s">
        <v>403</v>
      </c>
      <c r="D25" s="154"/>
      <c r="E25" s="154"/>
      <c r="F25" s="154"/>
      <c r="G25" s="154"/>
    </row>
    <row r="26" spans="2:7" ht="42" customHeight="1" x14ac:dyDescent="0.45">
      <c r="B26" s="91" t="s">
        <v>404</v>
      </c>
      <c r="C26" s="154" t="s">
        <v>405</v>
      </c>
      <c r="D26" s="154"/>
      <c r="E26" s="154"/>
      <c r="F26" s="154"/>
      <c r="G26" s="154"/>
    </row>
    <row r="27" spans="2:7" ht="42" customHeight="1" x14ac:dyDescent="0.45">
      <c r="B27" s="91" t="s">
        <v>406</v>
      </c>
      <c r="C27" s="154" t="s">
        <v>407</v>
      </c>
      <c r="D27" s="154"/>
      <c r="E27" s="154"/>
      <c r="F27" s="154"/>
      <c r="G27" s="154"/>
    </row>
    <row r="28" spans="2:7" ht="42" customHeight="1" x14ac:dyDescent="0.45">
      <c r="B28" s="91" t="s">
        <v>408</v>
      </c>
      <c r="C28" s="154" t="s">
        <v>409</v>
      </c>
      <c r="D28" s="154"/>
      <c r="E28" s="154"/>
      <c r="F28" s="154"/>
      <c r="G28" s="154"/>
    </row>
    <row r="29" spans="2:7" ht="30" customHeight="1" x14ac:dyDescent="0.45">
      <c r="B29" s="91" t="s">
        <v>410</v>
      </c>
      <c r="C29" s="154" t="s">
        <v>411</v>
      </c>
      <c r="D29" s="154"/>
      <c r="E29" s="154"/>
      <c r="F29" s="154"/>
      <c r="G29" s="154"/>
    </row>
    <row r="31" spans="2:7" ht="15" x14ac:dyDescent="0.45">
      <c r="B31" s="142" t="s">
        <v>412</v>
      </c>
      <c r="C31" s="142"/>
      <c r="D31" s="142"/>
      <c r="E31" s="142"/>
      <c r="F31" s="142"/>
      <c r="G31" s="142"/>
    </row>
    <row r="32" spans="2:7" ht="15" customHeight="1" x14ac:dyDescent="0.45">
      <c r="B32" s="102" t="s">
        <v>413</v>
      </c>
      <c r="C32" s="102" t="s">
        <v>414</v>
      </c>
      <c r="D32" s="155" t="s">
        <v>415</v>
      </c>
      <c r="E32" s="155"/>
      <c r="F32" s="155"/>
      <c r="G32" s="155"/>
    </row>
    <row r="33" spans="2:7" ht="27.75" customHeight="1" x14ac:dyDescent="0.45">
      <c r="B33" s="20" t="s">
        <v>416</v>
      </c>
      <c r="C33" s="114" t="s">
        <v>175</v>
      </c>
      <c r="D33" s="153" t="s">
        <v>417</v>
      </c>
      <c r="E33" s="153"/>
      <c r="F33" s="153"/>
      <c r="G33" s="153"/>
    </row>
    <row r="34" spans="2:7" ht="27.75" customHeight="1" x14ac:dyDescent="0.45">
      <c r="B34" s="20" t="s">
        <v>418</v>
      </c>
      <c r="C34" s="115" t="s">
        <v>419</v>
      </c>
      <c r="D34" s="153" t="s">
        <v>420</v>
      </c>
      <c r="E34" s="153"/>
      <c r="F34" s="153"/>
      <c r="G34" s="153"/>
    </row>
    <row r="35" spans="2:7" ht="27.75" customHeight="1" x14ac:dyDescent="0.45">
      <c r="B35" s="20" t="s">
        <v>421</v>
      </c>
      <c r="C35" s="114" t="s">
        <v>175</v>
      </c>
      <c r="D35" s="153" t="s">
        <v>422</v>
      </c>
      <c r="E35" s="153"/>
      <c r="F35" s="153"/>
      <c r="G35" s="153"/>
    </row>
    <row r="36" spans="2:7" ht="27.75" customHeight="1" x14ac:dyDescent="0.45">
      <c r="B36" s="20" t="s">
        <v>423</v>
      </c>
      <c r="C36" s="115" t="s">
        <v>424</v>
      </c>
      <c r="D36" s="153" t="s">
        <v>425</v>
      </c>
      <c r="E36" s="153"/>
      <c r="F36" s="153"/>
      <c r="G36" s="153"/>
    </row>
    <row r="37" spans="2:7" ht="27.75" customHeight="1" x14ac:dyDescent="0.45">
      <c r="B37" s="20" t="s">
        <v>426</v>
      </c>
      <c r="C37" s="115" t="s">
        <v>424</v>
      </c>
      <c r="D37" s="153" t="s">
        <v>427</v>
      </c>
      <c r="E37" s="153"/>
      <c r="F37" s="153"/>
      <c r="G37" s="153"/>
    </row>
    <row r="38" spans="2:7" ht="27.75" customHeight="1" x14ac:dyDescent="0.45">
      <c r="B38" s="20" t="s">
        <v>428</v>
      </c>
      <c r="C38" s="114" t="s">
        <v>175</v>
      </c>
      <c r="D38" s="153" t="s">
        <v>429</v>
      </c>
      <c r="E38" s="153"/>
      <c r="F38" s="153"/>
      <c r="G38" s="153"/>
    </row>
    <row r="40" spans="2:7" ht="15" x14ac:dyDescent="0.45">
      <c r="B40" s="142" t="s">
        <v>430</v>
      </c>
      <c r="C40" s="142"/>
      <c r="D40" s="142"/>
      <c r="E40" s="142"/>
      <c r="F40" s="142"/>
      <c r="G40" s="142"/>
    </row>
    <row r="41" spans="2:7" ht="30" customHeight="1" x14ac:dyDescent="0.45">
      <c r="B41" s="146" t="s">
        <v>431</v>
      </c>
      <c r="C41" s="146"/>
      <c r="D41" s="146"/>
      <c r="E41" s="146"/>
      <c r="F41" s="146"/>
      <c r="G41" s="146"/>
    </row>
    <row r="42" spans="2:7" ht="30" customHeight="1" x14ac:dyDescent="0.45">
      <c r="B42" s="146" t="s">
        <v>432</v>
      </c>
      <c r="C42" s="146"/>
      <c r="D42" s="146"/>
      <c r="E42" s="146"/>
      <c r="F42" s="146"/>
      <c r="G42" s="146"/>
    </row>
    <row r="43" spans="2:7" ht="30" customHeight="1" x14ac:dyDescent="0.45">
      <c r="B43" s="146" t="s">
        <v>433</v>
      </c>
      <c r="C43" s="146"/>
      <c r="D43" s="146"/>
      <c r="E43" s="146"/>
      <c r="F43" s="146"/>
      <c r="G43" s="146"/>
    </row>
    <row r="44" spans="2:7" ht="30" customHeight="1" x14ac:dyDescent="0.45">
      <c r="B44" s="146" t="s">
        <v>434</v>
      </c>
      <c r="C44" s="146"/>
      <c r="D44" s="146"/>
      <c r="E44" s="146"/>
      <c r="F44" s="146"/>
      <c r="G44" s="146"/>
    </row>
    <row r="45" spans="2:7" ht="30" customHeight="1" x14ac:dyDescent="0.45">
      <c r="B45" s="146" t="s">
        <v>435</v>
      </c>
      <c r="C45" s="146"/>
      <c r="D45" s="146"/>
      <c r="E45" s="146"/>
      <c r="F45" s="146"/>
      <c r="G45" s="146"/>
    </row>
  </sheetData>
  <mergeCells count="32">
    <mergeCell ref="B1:G1"/>
    <mergeCell ref="B3:G3"/>
    <mergeCell ref="B4:G4"/>
    <mergeCell ref="B5:G5"/>
    <mergeCell ref="B6:G6"/>
    <mergeCell ref="B7:G7"/>
    <mergeCell ref="B9:E9"/>
    <mergeCell ref="B18:G18"/>
    <mergeCell ref="B19:G19"/>
    <mergeCell ref="B20:G20"/>
    <mergeCell ref="B21:G21"/>
    <mergeCell ref="B22:G22"/>
    <mergeCell ref="B24:G24"/>
    <mergeCell ref="C25:G25"/>
    <mergeCell ref="C26:G26"/>
    <mergeCell ref="C27:G27"/>
    <mergeCell ref="C28:G28"/>
    <mergeCell ref="C29:G29"/>
    <mergeCell ref="B31:G31"/>
    <mergeCell ref="D32:G32"/>
    <mergeCell ref="D33:G33"/>
    <mergeCell ref="D34:G34"/>
    <mergeCell ref="D35:G35"/>
    <mergeCell ref="D36:G36"/>
    <mergeCell ref="D37:G37"/>
    <mergeCell ref="B44:G44"/>
    <mergeCell ref="B45:G45"/>
    <mergeCell ref="D38:G38"/>
    <mergeCell ref="B40:G40"/>
    <mergeCell ref="B41:G41"/>
    <mergeCell ref="B42:G42"/>
    <mergeCell ref="B43:G43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95959"/>
  </sheetPr>
  <dimension ref="B1:G24"/>
  <sheetViews>
    <sheetView showGridLines="0" zoomScaleNormal="100" workbookViewId="0">
      <selection activeCell="J7" sqref="J7"/>
    </sheetView>
  </sheetViews>
  <sheetFormatPr defaultColWidth="8.6640625" defaultRowHeight="14.25" x14ac:dyDescent="0.45"/>
  <cols>
    <col min="1" max="1" width="2.46484375" customWidth="1"/>
    <col min="2" max="2" width="40" customWidth="1"/>
    <col min="3" max="3" width="16" customWidth="1"/>
    <col min="4" max="4" width="25.33203125" customWidth="1"/>
    <col min="5" max="5" width="4" customWidth="1"/>
    <col min="6" max="6" width="34" customWidth="1"/>
    <col min="7" max="7" width="40" customWidth="1"/>
  </cols>
  <sheetData>
    <row r="1" spans="2:7" ht="17.649999999999999" x14ac:dyDescent="0.5">
      <c r="B1" s="143" t="s">
        <v>436</v>
      </c>
      <c r="C1" s="143"/>
      <c r="D1" s="143"/>
      <c r="E1" s="143"/>
      <c r="F1" s="143"/>
      <c r="G1" s="143"/>
    </row>
    <row r="2" spans="2:7" x14ac:dyDescent="0.45">
      <c r="B2" s="144" t="s">
        <v>437</v>
      </c>
      <c r="C2" s="144"/>
      <c r="D2" s="144"/>
      <c r="E2" s="144"/>
      <c r="F2" s="144"/>
      <c r="G2" s="144"/>
    </row>
    <row r="4" spans="2:7" ht="15" x14ac:dyDescent="0.45">
      <c r="B4" s="142" t="s">
        <v>438</v>
      </c>
      <c r="C4" s="142"/>
      <c r="D4" s="142"/>
      <c r="F4" s="142" t="s">
        <v>439</v>
      </c>
      <c r="G4" s="142"/>
    </row>
    <row r="5" spans="2:7" x14ac:dyDescent="0.45">
      <c r="B5" s="102" t="s">
        <v>440</v>
      </c>
      <c r="C5" s="102" t="s">
        <v>441</v>
      </c>
      <c r="D5" s="102" t="s">
        <v>442</v>
      </c>
      <c r="F5" s="102" t="s">
        <v>443</v>
      </c>
      <c r="G5" s="102" t="s">
        <v>444</v>
      </c>
    </row>
    <row r="6" spans="2:7" ht="25.5" customHeight="1" x14ac:dyDescent="0.45">
      <c r="B6" s="48" t="s">
        <v>445</v>
      </c>
      <c r="C6" s="116">
        <f>'Deal Summary'!C16/('Deal Summary'!C5/100)</f>
        <v>1610.2</v>
      </c>
      <c r="D6" s="117" t="s">
        <v>446</v>
      </c>
      <c r="F6" s="118" t="s">
        <v>447</v>
      </c>
      <c r="G6" s="119" t="s">
        <v>448</v>
      </c>
    </row>
    <row r="7" spans="2:7" ht="25.5" customHeight="1" x14ac:dyDescent="0.45">
      <c r="B7" s="48" t="s">
        <v>449</v>
      </c>
      <c r="C7" s="116">
        <f>'Deal Summary'!C7</f>
        <v>612</v>
      </c>
      <c r="D7" s="117" t="s">
        <v>450</v>
      </c>
      <c r="F7" s="118" t="s">
        <v>451</v>
      </c>
      <c r="G7" s="119" t="s">
        <v>452</v>
      </c>
    </row>
    <row r="8" spans="2:7" ht="25.5" customHeight="1" x14ac:dyDescent="0.45">
      <c r="B8" s="48" t="s">
        <v>453</v>
      </c>
      <c r="C8" s="120">
        <f>'Deal Summary'!C10</f>
        <v>0.34210526315789469</v>
      </c>
      <c r="D8" s="117" t="s">
        <v>454</v>
      </c>
      <c r="F8" s="118" t="s">
        <v>455</v>
      </c>
      <c r="G8" s="119" t="s">
        <v>456</v>
      </c>
    </row>
    <row r="9" spans="2:7" ht="25.5" customHeight="1" x14ac:dyDescent="0.45">
      <c r="B9" s="48" t="s">
        <v>457</v>
      </c>
      <c r="C9" s="121">
        <f>'Deal Summary'!G14</f>
        <v>1.1963608109748697E-2</v>
      </c>
      <c r="D9" s="117" t="s">
        <v>458</v>
      </c>
      <c r="F9" s="118" t="s">
        <v>459</v>
      </c>
      <c r="G9" s="119" t="s">
        <v>460</v>
      </c>
    </row>
    <row r="10" spans="2:7" ht="25.5" customHeight="1" x14ac:dyDescent="0.45">
      <c r="B10" s="48" t="s">
        <v>461</v>
      </c>
      <c r="C10" s="122">
        <f>'Deal Summary'!G18</f>
        <v>16.915084915084918</v>
      </c>
      <c r="D10" s="117" t="s">
        <v>462</v>
      </c>
      <c r="F10" s="118" t="s">
        <v>463</v>
      </c>
      <c r="G10" s="119" t="s">
        <v>464</v>
      </c>
    </row>
    <row r="11" spans="2:7" ht="25.5" customHeight="1" x14ac:dyDescent="0.45">
      <c r="B11" s="48" t="s">
        <v>465</v>
      </c>
      <c r="C11" s="122">
        <f>Comps!P14</f>
        <v>7.4051948051948058</v>
      </c>
      <c r="D11" s="117" t="s">
        <v>466</v>
      </c>
      <c r="F11" s="118" t="s">
        <v>467</v>
      </c>
      <c r="G11" s="119" t="s">
        <v>468</v>
      </c>
    </row>
    <row r="12" spans="2:7" ht="25.5" customHeight="1" x14ac:dyDescent="0.45">
      <c r="B12" s="48" t="s">
        <v>469</v>
      </c>
      <c r="C12" s="116">
        <f>DCF!C53</f>
        <v>469.95748746125889</v>
      </c>
      <c r="D12" s="117" t="s">
        <v>466</v>
      </c>
      <c r="F12" s="118" t="s">
        <v>470</v>
      </c>
      <c r="G12" s="119" t="s">
        <v>471</v>
      </c>
    </row>
    <row r="13" spans="2:7" ht="25.5" customHeight="1" x14ac:dyDescent="0.45">
      <c r="B13" s="48" t="s">
        <v>472</v>
      </c>
      <c r="C13" s="122">
        <f>Synergies!C30</f>
        <v>0.478186</v>
      </c>
      <c r="D13" s="117" t="s">
        <v>473</v>
      </c>
      <c r="F13" s="118" t="s">
        <v>474</v>
      </c>
      <c r="G13" s="119" t="s">
        <v>475</v>
      </c>
    </row>
    <row r="14" spans="2:7" ht="25.5" customHeight="1" x14ac:dyDescent="0.45">
      <c r="F14" s="118" t="s">
        <v>476</v>
      </c>
      <c r="G14" s="119" t="s">
        <v>477</v>
      </c>
    </row>
    <row r="15" spans="2:7" ht="25.5" customHeight="1" x14ac:dyDescent="0.45">
      <c r="B15" s="160" t="s">
        <v>478</v>
      </c>
      <c r="C15" s="160"/>
      <c r="D15" s="160"/>
      <c r="F15" s="118" t="s">
        <v>479</v>
      </c>
      <c r="G15" s="119" t="s">
        <v>480</v>
      </c>
    </row>
    <row r="16" spans="2:7" ht="25.5" customHeight="1" x14ac:dyDescent="0.45">
      <c r="F16" s="118" t="s">
        <v>481</v>
      </c>
      <c r="G16" s="119" t="s">
        <v>482</v>
      </c>
    </row>
    <row r="17" spans="2:7" ht="25.5" customHeight="1" x14ac:dyDescent="0.45">
      <c r="B17" s="142" t="s">
        <v>483</v>
      </c>
      <c r="C17" s="142"/>
      <c r="D17" s="142"/>
      <c r="F17" s="118" t="s">
        <v>484</v>
      </c>
      <c r="G17" s="119" t="s">
        <v>485</v>
      </c>
    </row>
    <row r="18" spans="2:7" ht="25.5" customHeight="1" x14ac:dyDescent="0.45">
      <c r="B18" s="102" t="s">
        <v>486</v>
      </c>
      <c r="C18" s="102" t="s">
        <v>487</v>
      </c>
      <c r="D18" s="102" t="s">
        <v>488</v>
      </c>
      <c r="F18" s="118" t="s">
        <v>489</v>
      </c>
      <c r="G18" s="119" t="s">
        <v>490</v>
      </c>
    </row>
    <row r="19" spans="2:7" ht="25.5" customHeight="1" x14ac:dyDescent="0.45">
      <c r="B19" s="48" t="s">
        <v>491</v>
      </c>
      <c r="C19" s="123">
        <v>1.35</v>
      </c>
      <c r="D19" s="124" t="s">
        <v>492</v>
      </c>
      <c r="F19" s="118" t="s">
        <v>493</v>
      </c>
      <c r="G19" s="119" t="s">
        <v>494</v>
      </c>
    </row>
    <row r="20" spans="2:7" x14ac:dyDescent="0.45">
      <c r="B20" s="48" t="s">
        <v>495</v>
      </c>
      <c r="C20" s="123">
        <v>1.17</v>
      </c>
      <c r="D20" s="124" t="s">
        <v>496</v>
      </c>
    </row>
    <row r="21" spans="2:7" ht="15" customHeight="1" x14ac:dyDescent="0.45">
      <c r="B21" s="48" t="s">
        <v>497</v>
      </c>
      <c r="C21" s="123">
        <v>0.86</v>
      </c>
      <c r="D21" s="124" t="s">
        <v>498</v>
      </c>
      <c r="F21" s="159" t="s">
        <v>499</v>
      </c>
      <c r="G21" s="159"/>
    </row>
    <row r="22" spans="2:7" x14ac:dyDescent="0.45">
      <c r="B22" s="48" t="s">
        <v>500</v>
      </c>
      <c r="C22" s="123">
        <v>0.74</v>
      </c>
      <c r="D22" s="124" t="s">
        <v>501</v>
      </c>
      <c r="F22" s="159"/>
      <c r="G22" s="159"/>
    </row>
    <row r="23" spans="2:7" x14ac:dyDescent="0.45">
      <c r="F23" s="159"/>
      <c r="G23" s="159"/>
    </row>
    <row r="24" spans="2:7" x14ac:dyDescent="0.45">
      <c r="F24" s="159"/>
      <c r="G24" s="159"/>
    </row>
  </sheetData>
  <mergeCells count="7">
    <mergeCell ref="B17:D17"/>
    <mergeCell ref="F21:G24"/>
    <mergeCell ref="B1:G1"/>
    <mergeCell ref="B2:G2"/>
    <mergeCell ref="B4:D4"/>
    <mergeCell ref="F4:G4"/>
    <mergeCell ref="B15:D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Cover</vt:lpstr>
      <vt:lpstr>Deal Summary</vt:lpstr>
      <vt:lpstr>Comps</vt:lpstr>
      <vt:lpstr>Precedents</vt:lpstr>
      <vt:lpstr>DCF</vt:lpstr>
      <vt:lpstr>Synergies</vt:lpstr>
      <vt:lpstr>Verdict</vt:lpstr>
      <vt:lpstr>Audit</vt:lpstr>
      <vt:lpstr>DCF_NetCash</vt:lpstr>
      <vt:lpstr>DCF_Shares</vt:lpstr>
      <vt:lpstr>S_CAGR</vt:lpstr>
      <vt:lpstr>S_Exit</vt:lpstr>
      <vt:lpstr>S_Margin</vt:lpstr>
      <vt:lpstr>S_TermG</vt:lpstr>
      <vt:lpstr>S_WACC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romanos valeontis</cp:lastModifiedBy>
  <cp:revision>0</cp:revision>
  <dcterms:created xsi:type="dcterms:W3CDTF">2026-05-29T01:38:47Z</dcterms:created>
  <dcterms:modified xsi:type="dcterms:W3CDTF">2026-05-29T04:58:14Z</dcterms:modified>
  <dc:language>en-US</dc:language>
</cp:coreProperties>
</file>