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roman\Desktop\Romanos-Site\Projects\Teleperformance\"/>
    </mc:Choice>
  </mc:AlternateContent>
  <xr:revisionPtr revIDLastSave="0" documentId="13_ncr:1_{3CAC536E-14B1-48D7-911C-7E1C887749B9}" xr6:coauthVersionLast="47" xr6:coauthVersionMax="47" xr10:uidLastSave="{00000000-0000-0000-0000-000000000000}"/>
  <bookViews>
    <workbookView xWindow="-98" yWindow="-98" windowWidth="28996" windowHeight="15675" tabRatio="500" xr2:uid="{00000000-000D-0000-FFFF-FFFF00000000}"/>
  </bookViews>
  <sheets>
    <sheet name="Cover" sheetId="1" r:id="rId1"/>
    <sheet name="Assumptions" sheetId="2" r:id="rId2"/>
    <sheet name="Historical Financials" sheetId="3" r:id="rId3"/>
    <sheet name="Revenue Bridge" sheetId="4" r:id="rId4"/>
    <sheet name="AI Scenario Analysis" sheetId="5" r:id="rId5"/>
    <sheet name="DCF Model" sheetId="6" r:id="rId6"/>
    <sheet name="Comparable Companies" sheetId="7" r:id="rId7"/>
    <sheet name="LBO Model" sheetId="8" r:id="rId8"/>
    <sheet name="DD Flags" sheetId="9" r:id="rId9"/>
    <sheet name="Investment Thesis" sheetId="10" r:id="rId10"/>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29" i="8" l="1"/>
  <c r="D28" i="8"/>
  <c r="C27" i="8"/>
  <c r="D26" i="8"/>
  <c r="C26" i="8"/>
  <c r="C28" i="8" s="1"/>
  <c r="C30" i="8" s="1"/>
  <c r="E24" i="8"/>
  <c r="E29" i="8" s="1"/>
  <c r="D24" i="8"/>
  <c r="D29" i="8" s="1"/>
  <c r="C19" i="8"/>
  <c r="C56" i="8" s="1"/>
  <c r="C17" i="8"/>
  <c r="C37" i="8" s="1"/>
  <c r="C9" i="8"/>
  <c r="C11" i="8" s="1"/>
  <c r="H25" i="6"/>
  <c r="G25" i="6"/>
  <c r="F25" i="6"/>
  <c r="E25" i="6"/>
  <c r="D25" i="6"/>
  <c r="C19" i="6"/>
  <c r="D18" i="6"/>
  <c r="C18" i="6"/>
  <c r="C11" i="6"/>
  <c r="C10" i="6"/>
  <c r="C17" i="6" s="1"/>
  <c r="C9" i="6"/>
  <c r="C14" i="6" s="1"/>
  <c r="C15" i="6" s="1"/>
  <c r="D7" i="6"/>
  <c r="E27" i="5"/>
  <c r="E35" i="5" s="1"/>
  <c r="C18" i="5"/>
  <c r="C25" i="5" s="1"/>
  <c r="C27" i="5" s="1"/>
  <c r="E13" i="5"/>
  <c r="E18" i="5" s="1"/>
  <c r="E25" i="5" s="1"/>
  <c r="D13" i="5"/>
  <c r="D18" i="5" s="1"/>
  <c r="D25" i="5" s="1"/>
  <c r="D27" i="5" s="1"/>
  <c r="C13" i="5"/>
  <c r="G36" i="3"/>
  <c r="G38" i="3" s="1"/>
  <c r="F36" i="3"/>
  <c r="F38" i="3" s="1"/>
  <c r="E36" i="3"/>
  <c r="E38" i="3" s="1"/>
  <c r="D36" i="3"/>
  <c r="D38" i="3" s="1"/>
  <c r="C36" i="3"/>
  <c r="C38" i="3" s="1"/>
  <c r="G30" i="3"/>
  <c r="F30" i="3"/>
  <c r="E30" i="3"/>
  <c r="D30" i="3"/>
  <c r="C30" i="3"/>
  <c r="G24" i="3"/>
  <c r="F24" i="3"/>
  <c r="E24" i="3"/>
  <c r="D24" i="3"/>
  <c r="C24" i="3"/>
  <c r="G22" i="3"/>
  <c r="F22" i="3"/>
  <c r="E22" i="3"/>
  <c r="D22" i="3"/>
  <c r="C22" i="3"/>
  <c r="G17" i="3"/>
  <c r="F17" i="3"/>
  <c r="G13" i="3"/>
  <c r="F13" i="3"/>
  <c r="E13" i="3"/>
  <c r="D13" i="3"/>
  <c r="C13" i="3"/>
  <c r="G12" i="3"/>
  <c r="F12" i="3"/>
  <c r="E12" i="3"/>
  <c r="D12" i="3"/>
  <c r="C12" i="3"/>
  <c r="G10" i="3"/>
  <c r="F10" i="3"/>
  <c r="E10" i="3"/>
  <c r="D10" i="3"/>
  <c r="C10" i="3"/>
  <c r="G7" i="3"/>
  <c r="F7" i="3"/>
  <c r="E7" i="3"/>
  <c r="D7" i="3"/>
  <c r="C38" i="8" l="1"/>
  <c r="C39" i="8"/>
  <c r="D37" i="8" s="1"/>
  <c r="D29" i="5"/>
  <c r="D31" i="5" s="1"/>
  <c r="D35" i="5"/>
  <c r="C35" i="5"/>
  <c r="C37" i="5" s="1"/>
  <c r="C38" i="5" s="1"/>
  <c r="C39" i="5" s="1"/>
  <c r="C29" i="5"/>
  <c r="C31" i="5" s="1"/>
  <c r="E29" i="5"/>
  <c r="E31" i="5" s="1"/>
  <c r="C16" i="6"/>
  <c r="C20" i="6" s="1"/>
  <c r="D19" i="6"/>
  <c r="D10" i="6"/>
  <c r="D17" i="6" s="1"/>
  <c r="E7" i="6"/>
  <c r="D9" i="6"/>
  <c r="C16" i="8"/>
  <c r="C13" i="8"/>
  <c r="E26" i="8"/>
  <c r="F24" i="8"/>
  <c r="D27" i="8"/>
  <c r="D30" i="8" s="1"/>
  <c r="E27" i="8"/>
  <c r="D14" i="6" l="1"/>
  <c r="D11" i="6"/>
  <c r="F27" i="8"/>
  <c r="G24" i="8"/>
  <c r="F29" i="8"/>
  <c r="F26" i="8"/>
  <c r="E28" i="8"/>
  <c r="E30" i="8" s="1"/>
  <c r="E10" i="6"/>
  <c r="E17" i="6" s="1"/>
  <c r="F7" i="6"/>
  <c r="E18" i="6"/>
  <c r="E9" i="6"/>
  <c r="E19" i="6"/>
  <c r="D39" i="8"/>
  <c r="E37" i="8" s="1"/>
  <c r="D38" i="8"/>
  <c r="C33" i="8"/>
  <c r="C18" i="8"/>
  <c r="C20" i="8" s="1"/>
  <c r="C34" i="8" l="1"/>
  <c r="C41" i="8" s="1"/>
  <c r="C42" i="8" s="1"/>
  <c r="C35" i="8"/>
  <c r="D33" i="8" s="1"/>
  <c r="F28" i="8"/>
  <c r="F30" i="8" s="1"/>
  <c r="G27" i="8"/>
  <c r="H24" i="8"/>
  <c r="G29" i="8"/>
  <c r="G26" i="8"/>
  <c r="E39" i="8"/>
  <c r="F37" i="8" s="1"/>
  <c r="E38" i="8"/>
  <c r="E11" i="6"/>
  <c r="E14" i="6"/>
  <c r="F10" i="6"/>
  <c r="F17" i="6" s="1"/>
  <c r="G7" i="6"/>
  <c r="F18" i="6"/>
  <c r="F19" i="6"/>
  <c r="F9" i="6"/>
  <c r="D15" i="6"/>
  <c r="D16" i="6" s="1"/>
  <c r="D20" i="6" s="1"/>
  <c r="D26" i="6" s="1"/>
  <c r="D34" i="8" l="1"/>
  <c r="D41" i="8" s="1"/>
  <c r="D42" i="8" s="1"/>
  <c r="D35" i="8"/>
  <c r="E33" i="8" s="1"/>
  <c r="G28" i="8"/>
  <c r="G30" i="8" s="1"/>
  <c r="F11" i="6"/>
  <c r="F14" i="6"/>
  <c r="H26" i="8"/>
  <c r="H29" i="8"/>
  <c r="H27" i="8"/>
  <c r="H7" i="6"/>
  <c r="G18" i="6"/>
  <c r="G9" i="6"/>
  <c r="G19" i="6"/>
  <c r="G10" i="6"/>
  <c r="G17" i="6" s="1"/>
  <c r="E15" i="6"/>
  <c r="E16" i="6"/>
  <c r="E20" i="6" s="1"/>
  <c r="E26" i="6" s="1"/>
  <c r="F39" i="8"/>
  <c r="G37" i="8" s="1"/>
  <c r="F38" i="8"/>
  <c r="C36" i="8"/>
  <c r="C40" i="8" s="1"/>
  <c r="C43" i="8" s="1"/>
  <c r="G39" i="8" l="1"/>
  <c r="H37" i="8" s="1"/>
  <c r="G38" i="8"/>
  <c r="H28" i="8"/>
  <c r="H30" i="8" s="1"/>
  <c r="H46" i="8"/>
  <c r="F15" i="6"/>
  <c r="F16" i="6" s="1"/>
  <c r="F20" i="6" s="1"/>
  <c r="F26" i="6" s="1"/>
  <c r="G11" i="6"/>
  <c r="G14" i="6"/>
  <c r="E34" i="8"/>
  <c r="E41" i="8" s="1"/>
  <c r="E42" i="8" s="1"/>
  <c r="E35" i="8"/>
  <c r="F33" i="8" s="1"/>
  <c r="D36" i="8"/>
  <c r="D40" i="8" s="1"/>
  <c r="D43" i="8" s="1"/>
  <c r="H18" i="6"/>
  <c r="H10" i="6"/>
  <c r="H17" i="6" s="1"/>
  <c r="H19" i="6"/>
  <c r="H9" i="6"/>
  <c r="H49" i="8" l="1"/>
  <c r="H48" i="8"/>
  <c r="H47" i="8"/>
  <c r="H11" i="6"/>
  <c r="H35" i="6"/>
  <c r="H36" i="6" s="1"/>
  <c r="H14" i="6"/>
  <c r="F34" i="8"/>
  <c r="F41" i="8" s="1"/>
  <c r="F42" i="8" s="1"/>
  <c r="F35" i="8"/>
  <c r="G33" i="8" s="1"/>
  <c r="F36" i="8"/>
  <c r="F40" i="8" s="1"/>
  <c r="F43" i="8" s="1"/>
  <c r="E36" i="8"/>
  <c r="E40" i="8" s="1"/>
  <c r="E43" i="8" s="1"/>
  <c r="H38" i="8"/>
  <c r="H39" i="8"/>
  <c r="G15" i="6"/>
  <c r="G16" i="6"/>
  <c r="G20" i="6" s="1"/>
  <c r="G26" i="6" s="1"/>
  <c r="G34" i="8" l="1"/>
  <c r="G41" i="8" s="1"/>
  <c r="G42" i="8" s="1"/>
  <c r="G35" i="8"/>
  <c r="H33" i="8" s="1"/>
  <c r="G36" i="8"/>
  <c r="G40" i="8" s="1"/>
  <c r="G43" i="8" s="1"/>
  <c r="H15" i="6"/>
  <c r="H16" i="6" s="1"/>
  <c r="H20" i="6" s="1"/>
  <c r="H26" i="6" l="1"/>
  <c r="D27" i="6" s="1"/>
  <c r="H31" i="6"/>
  <c r="H32" i="6"/>
  <c r="H33" i="6" s="1"/>
  <c r="C40" i="6" s="1"/>
  <c r="H35" i="8"/>
  <c r="H36" i="8" s="1"/>
  <c r="H40" i="8" s="1"/>
  <c r="H34" i="8"/>
  <c r="H41" i="8" s="1"/>
  <c r="H42" i="8" s="1"/>
  <c r="H50" i="8" l="1"/>
  <c r="H43" i="8"/>
  <c r="C42" i="6"/>
  <c r="C46" i="6" s="1"/>
  <c r="C49" i="6" s="1"/>
  <c r="C52" i="6" s="1"/>
  <c r="C39" i="6"/>
  <c r="C41" i="6" s="1"/>
  <c r="C45" i="6" s="1"/>
  <c r="C48" i="6" s="1"/>
  <c r="C51" i="6" s="1"/>
  <c r="H53" i="8" l="1"/>
  <c r="H64" i="8" s="1"/>
  <c r="H51" i="8"/>
  <c r="H58" i="8" s="1"/>
  <c r="H59" i="8" s="1"/>
  <c r="H52" i="8"/>
  <c r="H61" i="8" s="1"/>
  <c r="H62" i="8" s="1"/>
  <c r="H66" i="8" l="1"/>
  <c r="H65" i="8"/>
</calcChain>
</file>

<file path=xl/sharedStrings.xml><?xml version="1.0" encoding="utf-8"?>
<sst xmlns="http://schemas.openxmlformats.org/spreadsheetml/2006/main" count="759" uniqueCount="599">
  <si>
    <t>TELEPERFORMANCE SE  (EPA: TEP)</t>
  </si>
  <si>
    <t>Contrarian PE / Deep Value Investment Analysis</t>
  </si>
  <si>
    <t>"Is the Market's AI Displacement Fear Rational, or a Narrative Misprice?"</t>
  </si>
  <si>
    <t>Analyst</t>
  </si>
  <si>
    <t>Romanos Valeontis</t>
  </si>
  <si>
    <t>Date</t>
  </si>
  <si>
    <t>May 2026</t>
  </si>
  <si>
    <t>Version</t>
  </si>
  <si>
    <t>v1.0</t>
  </si>
  <si>
    <t>Classification</t>
  </si>
  <si>
    <t>CONFIDENTIAL</t>
  </si>
  <si>
    <t>Target</t>
  </si>
  <si>
    <t>Teleperformance SE  (EPA: TEP)</t>
  </si>
  <si>
    <t>Sector</t>
  </si>
  <si>
    <t>Business Process Outsourcing (BPO)</t>
  </si>
  <si>
    <t>Share Price (15 May 2026)</t>
  </si>
  <si>
    <t>Market Cap</t>
  </si>
  <si>
    <t>~€3.87 billion</t>
  </si>
  <si>
    <t>Enterprise Value</t>
  </si>
  <si>
    <t>~€7.84 billion</t>
  </si>
  <si>
    <t>EV/EBITDA (FY2025)</t>
  </si>
  <si>
    <t>~5.3x  vs 10-year median of 13.9x</t>
  </si>
  <si>
    <t>P/E (trailing)</t>
  </si>
  <si>
    <t>~7.5x  vs 10-year median of ~27x</t>
  </si>
  <si>
    <t>Key Question</t>
  </si>
  <si>
    <t>AI Victim (Scenario A), AI Adapter (B), or AI Enabler (C)?</t>
  </si>
  <si>
    <t>FRAMING NOTE — ANALYTICAL APPROACH</t>
  </si>
  <si>
    <t>This analysis approaches Teleperformance from a neutral standpoint that leans slightly toward the contrarian bull case. Both sides of the AI disruption debate are presented with equal rigour. The bear case (Scenario A: AI Victim) is treated as a credible 15% probability scenario — not dismissed. The base case (Scenario B: AI Adapter) at 60% probability reflects the view that AI will reshape but not eliminate TP's core value proposition. The bull case (Scenario C: AI Enabler) at 25% reflects the upside if TP.ai FAB gains real commercial traction. The single most important finding: at €66.54/share and 5.3x EV/EBITDA, the market is pricing in near-terminal decline. Even Scenario A does not fully justify today's price. The margin of safety for a patient investor is material.</t>
  </si>
  <si>
    <t>DISCLAIMER: Produced for portfolio/educational purposes by Romanos Valeontis. All data sourced from public filings, TP press releases and market data as of May 2026. Not investment advice. Assumptions explicitly flagged in Assumptions sheet.</t>
  </si>
  <si>
    <t>ASSUMPTIONS &amp; SOURCES  |  Teleperformance SE  (EPA: TEP)</t>
  </si>
  <si>
    <t>Assumption</t>
  </si>
  <si>
    <t>Base Value</t>
  </si>
  <si>
    <t>Scenario Range</t>
  </si>
  <si>
    <t>Source / Rationale</t>
  </si>
  <si>
    <t>Confidence</t>
  </si>
  <si>
    <t>MARKET DATA — AS OF MAY 15, 2026</t>
  </si>
  <si>
    <t>Share Price (EPA: TEP)</t>
  </si>
  <si>
    <t>€45.50–96.38 (52-wk)</t>
  </si>
  <si>
    <t>Investing.com / Bloomberg, 15 May 2026.</t>
  </si>
  <si>
    <t>HIGH</t>
  </si>
  <si>
    <t>Shares Outstanding</t>
  </si>
  <si>
    <t>58.14m</t>
  </si>
  <si>
    <t>—</t>
  </si>
  <si>
    <t>Morningstar / StockAnalysis, May 2026. Reduced -1.48% YoY (buyback).</t>
  </si>
  <si>
    <t>Market Capitalisation</t>
  </si>
  <si>
    <t>~€3,868m</t>
  </si>
  <si>
    <t>€66.54 × 58.14m shares = €3,868m.</t>
  </si>
  <si>
    <t>Total Debt</t>
  </si>
  <si>
    <t>~€4,970m</t>
  </si>
  <si>
    <t>StockAnalysis, May 2026. Debt/Equity 121%.</t>
  </si>
  <si>
    <t>Cash &amp; Equivalents</t>
  </si>
  <si>
    <t>~€996m</t>
  </si>
  <si>
    <t>StockAnalysis, May 2026.</t>
  </si>
  <si>
    <t>Net Debt</t>
  </si>
  <si>
    <t>~€3,974m</t>
  </si>
  <si>
    <t>Total Debt €4,970m – Cash €996m = €3,974m.</t>
  </si>
  <si>
    <t>~€7,842m</t>
  </si>
  <si>
    <t>Mkt Cap €3,868m + Net Debt €3,974m = €7,842m.</t>
  </si>
  <si>
    <t>Short Interest (% of float)</t>
  </si>
  <si>
    <t>Sector avg: 2.4%</t>
  </si>
  <si>
    <t>Bloomberg / S&amp;P Global Securities Finance, Feb 2026. Significantly above sector avg.</t>
  </si>
  <si>
    <t>REVENUE ASSUMPTIONS (FY2025 actuals + projections)</t>
  </si>
  <si>
    <t>FY2025 Revenue — Actual</t>
  </si>
  <si>
    <t>€10,209m</t>
  </si>
  <si>
    <t>N/A</t>
  </si>
  <si>
    <t>TP 2025 Annual Results press release, 26 Feb 2026.</t>
  </si>
  <si>
    <t>FY2024 Revenue — Actual</t>
  </si>
  <si>
    <t>€10,281m</t>
  </si>
  <si>
    <t>TP 2024 Annual Results press release, 27 Feb 2025.</t>
  </si>
  <si>
    <t>FY2025 LFL Growth (group)</t>
  </si>
  <si>
    <t>Excl. hyperinflation effect. Reported: -0.7%. Source: TP FY2025 results.</t>
  </si>
  <si>
    <t>FY2026 LFL Guidance</t>
  </si>
  <si>
    <t>0–2%</t>
  </si>
  <si>
    <t>TP 2025 Annual Results; Q1 2026 revenue update (Apr 28, 2026). Confirmed guidance.</t>
  </si>
  <si>
    <t>FY2028 Mid-term Target</t>
  </si>
  <si>
    <t>4–6% organic</t>
  </si>
  <si>
    <t>4–6%</t>
  </si>
  <si>
    <t>Future Forward plan, announced Feb 2026.</t>
  </si>
  <si>
    <t>MEDIUM</t>
  </si>
  <si>
    <t>Scenario B Revenue CAGR (FY25-30)</t>
  </si>
  <si>
    <t>2–3%</t>
  </si>
  <si>
    <t>AI Adapter: Core Services stable growth; Specialized Services stabilises. See AI Scenario sheet.</t>
  </si>
  <si>
    <t>FX Headwind (FY2025 reported)</t>
  </si>
  <si>
    <t>-€362m</t>
  </si>
  <si>
    <t>EUR/USD strengthened; GBP, INR, TRY, EGP all weakened vs EUR. Source: FY2025 results.</t>
  </si>
  <si>
    <t>Q1 2026 Revenue — Actual</t>
  </si>
  <si>
    <t>€2,433m / -2.2% LFL</t>
  </si>
  <si>
    <t>TP Q1 2026 revenue update, 28 Apr 2026. Reported -6.9% (FX impact).</t>
  </si>
  <si>
    <t>PROFITABILITY ASSUMPTIONS</t>
  </si>
  <si>
    <t>FY2025 EBITA Margin (current)</t>
  </si>
  <si>
    <t>~14.6%</t>
  </si>
  <si>
    <t>TP FY2025 results. EBITA basis comparable across all years. See reconciliation note below.</t>
  </si>
  <si>
    <t>FY2024 EBITA Margin</t>
  </si>
  <si>
    <t>EBITA €1,537m / Revenue €10,281m. TP FY2024 results.</t>
  </si>
  <si>
    <t>FY2025 EBITDA Margin (reported)</t>
  </si>
  <si>
    <t>EBITDA €1,485m / Revenue €10,209m. NOTE: EBITDA metric changed vs FY2024 basis — see note.</t>
  </si>
  <si>
    <t>FY2024 EBITDA Margin (as reported)</t>
  </si>
  <si>
    <t>EBITDA €2,096m / Revenue €10,281m. Includes full IFRS 16 addback. Methodological difference.</t>
  </si>
  <si>
    <t>EBITDA RECONCILIATION NOTE</t>
  </si>
  <si>
    <t>See note</t>
  </si>
  <si>
    <t>FY2021-24 EBITDA includes IFRS 16 right-of-use asset depreciation addback (approx €550-600m p.a.). FY2025 EBITDA of €1,485m appears to reflect a more conservative presentation. For trend comparability, EBITA is used as the primary profitability metric throughout this model (15.1%→15.5%→15.5%→15.0%→14.6%). The FY2024/FY2025 EBITDA 'drop' is substantially a presentation change, not an operational collapse. EBITA margins are broadly stable. RED FLAG: disclosure quality on EBITDA basis changes is LOW — flag in DD.</t>
  </si>
  <si>
    <t>LOW</t>
  </si>
  <si>
    <t>Scenario B EBITA Margin (terminal, FY2030)</t>
  </si>
  <si>
    <t>13–14%</t>
  </si>
  <si>
    <t>AI Adapter: margin stabilisation at below prior peak. Efficiency savings offset volume pressure.</t>
  </si>
  <si>
    <t>Majorel Synergies Achieved</t>
  </si>
  <si>
    <t>€94m (FY2024)</t>
  </si>
  <si>
    <t>€114-124m total</t>
  </si>
  <si>
    <t>TP confirmed €94m in FY2024, €20-30m additional in FY2025. Target was €100-150m by 2025.</t>
  </si>
  <si>
    <t>Future Forward savings target</t>
  </si>
  <si>
    <t>€100m+ p.a. run rate</t>
  </si>
  <si>
    <t>€100-120m</t>
  </si>
  <si>
    <t>TP Q1 2026 update; Future Forward plan announcement. On track per management.</t>
  </si>
  <si>
    <t>WACC — EXPLICIT BUILD (BASE CASE)</t>
  </si>
  <si>
    <t>Risk-Free Rate (Rf)  [French 10Y OAT]</t>
  </si>
  <si>
    <t>3.0–3.8%</t>
  </si>
  <si>
    <t>French 10Y OAT yield ~3.2–3.4%, May 2026. Source: Banque de France / Bloomberg.</t>
  </si>
  <si>
    <t>Equity Risk Premium (ERP)</t>
  </si>
  <si>
    <t>5.0–6.0%</t>
  </si>
  <si>
    <t>Damodaran Jan 2026 France ERP estimate: 5.5%.</t>
  </si>
  <si>
    <t>Levered Beta (β)</t>
  </si>
  <si>
    <t>0.70–1.00</t>
  </si>
  <si>
    <t>TEP 5-yr beta ~0.50 (Morningstar) — but structurally higher operational risk post-Majorel. Using 0.85 to reflect elevated uncertainty; BPO sector avg ~0.9.</t>
  </si>
  <si>
    <t>Cost of Equity  [Ke = Rf + β × ERP]</t>
  </si>
  <si>
    <t>3.3% + 0.85 x 5.50% = 3.30% + 4.68% = 7.98% approx 8.0%.</t>
  </si>
  <si>
    <t>Pre-tax Cost of Debt (Kd)</t>
  </si>
  <si>
    <t>Post-Majorel leverage BBB equivalent; French IG corporate spread ~220bps over OAT. Higher than Intertek given 2.7x leverage and BPO risk profile.</t>
  </si>
  <si>
    <t>Tax Rate (blended)</t>
  </si>
  <si>
    <t>23–25%</t>
  </si>
  <si>
    <t>French statutory 25%; global blended lower due to offshore activities.</t>
  </si>
  <si>
    <t>After-tax Cost of Debt</t>
  </si>
  <si>
    <t>5.5% x (1 - 24%) = 4.18%.</t>
  </si>
  <si>
    <t>Equity Weight (We)</t>
  </si>
  <si>
    <t>60–70%</t>
  </si>
  <si>
    <t>Mkt Cap €3,868m / EV €7,842m = 49%; using target structure (pre-Majorel ~70%). Conservative blended weight given current leverage.</t>
  </si>
  <si>
    <t>Debt Weight (Wd)</t>
  </si>
  <si>
    <t>30–40%</t>
  </si>
  <si>
    <t>Complement to equity weight; reflects elevated post-Majorel leverage.</t>
  </si>
  <si>
    <t>WACC (Base Case) = 65%×8.0% + 35%×4.18% = 5.20% + 1.46% = 6.66% ≈ 6.7%</t>
  </si>
  <si>
    <t>5.8–7.8%</t>
  </si>
  <si>
    <t>Bear WACC: 7.8% (beta 1.0, Kd 6.0%). Bull WACC: 5.8% (beta 0.7, Kd 4.8%).</t>
  </si>
  <si>
    <t>LBO ASSUMPTIONS</t>
  </si>
  <si>
    <t>Entry EV (May 2026)</t>
  </si>
  <si>
    <t>Mkt Cap €3,868m + Net Debt €3,974m. See market data section.</t>
  </si>
  <si>
    <t>Entry EBITA (FY2025)</t>
  </si>
  <si>
    <t>~€1,490m</t>
  </si>
  <si>
    <t>Estimated: revenue €10,209m × 14.6% EBITA margin.</t>
  </si>
  <si>
    <t>Entry EV/EBITA</t>
  </si>
  <si>
    <t>~5.3x</t>
  </si>
  <si>
    <t>€7,842m / €1,490m = 5.3x. 10-year median 13.9x. Extraordinary discount.</t>
  </si>
  <si>
    <t>Senior Debt (% of EV)</t>
  </si>
  <si>
    <t>45–55%</t>
  </si>
  <si>
    <t>Conservative vs Intertek (55%) given BPO operational risk and AI uncertainty.</t>
  </si>
  <si>
    <t>Mezzanine Debt (% of EV)</t>
  </si>
  <si>
    <t>35–45%</t>
  </si>
  <si>
    <t>Higher mezzanine tranche given elevated leverage; typical for complex PE situations.</t>
  </si>
  <si>
    <t>Equity Contribution (% of EV)</t>
  </si>
  <si>
    <t>8–15%</t>
  </si>
  <si>
    <t>Thin equity cushion at entry — reflects cheap entry multiple. Risk amplified.</t>
  </si>
  <si>
    <t>Wait — Entry Structure Correction</t>
  </si>
  <si>
    <t>NOTE: At 5.3x EV/EBITA entry, a standard 4.5x ND/EBITDA PE structure would imply equity contribution of ~15%. The 50/40/10 structure requested requires stress testing — see DD flags.</t>
  </si>
  <si>
    <t>Senior Debt Rate</t>
  </si>
  <si>
    <t>6.0–8.0%</t>
  </si>
  <si>
    <t>French leveraged loan market; TP BBB- equivalent post-LBO. Higher than IG.</t>
  </si>
  <si>
    <t>Mezzanine Rate</t>
  </si>
  <si>
    <t>9.5–12.5%</t>
  </si>
  <si>
    <t>PIK/cash blend; distressed BPO risk profile.</t>
  </si>
  <si>
    <t>Exit Year</t>
  </si>
  <si>
    <t>2031 (Year 5)</t>
  </si>
  <si>
    <t>Year 4–7</t>
  </si>
  <si>
    <t>Standard PE hold period.</t>
  </si>
  <si>
    <t>Exit EV/EBITA — Scenario A (AI Victim)</t>
  </si>
  <si>
    <t>5–6x</t>
  </si>
  <si>
    <t>Market prices terminal decline; multiple stays compressed.</t>
  </si>
  <si>
    <t>Exit EV/EBITA — Scenario B (AI Adapter)</t>
  </si>
  <si>
    <t>8–10x</t>
  </si>
  <si>
    <t>Partial re-rating as AI transition narrative improves.</t>
  </si>
  <si>
    <t>Exit EV/EBITA — Scenario C (AI Enabler)</t>
  </si>
  <si>
    <t>12–15x</t>
  </si>
  <si>
    <t>Full re-rating to Accenture/Capgemini-style tech-services multiple.</t>
  </si>
  <si>
    <t>AI SCENARIO PROBABILITY WEIGHTS</t>
  </si>
  <si>
    <t>Scenario A — AI Victim (probability weight)</t>
  </si>
  <si>
    <t>10–25%</t>
  </si>
  <si>
    <t>Real risk. Q1 2026 core services -1.7% LFL first organic contraction. Short interest 6.4%. Trust &amp; Safety structurally declining. But: 81% of revenue in complex regulated verticals hard to automate in 3-5yr horizon. Kodak analogy requires zero-cost digital substitute.</t>
  </si>
  <si>
    <t>Scenario B — AI Adapter (probability weight)</t>
  </si>
  <si>
    <t>50–70%</t>
  </si>
  <si>
    <t>Base case. IBM 2012 analogy. New CEO with AI-native credentials. TP.ai FAB real commercial momentum (550+ projects, 50+ new deals Q1 2026). Switching costs in BPO real. Future Forward targets credible if execution holds.</t>
  </si>
  <si>
    <t>Scenario C — AI Enabler (probability weight)</t>
  </si>
  <si>
    <t>15–35%</t>
  </si>
  <si>
    <t>Bull case. TP becomes AI infrastructure for enterprise CX. Data services for AI growing double digits. Agentic AI partnerships (Ema, Parloa, Sanas). Upside requires TP.ai FAB to scale beyond 550 projects to significant revenue contribution.</t>
  </si>
  <si>
    <t>Probability-Weighted Blended Value</t>
  </si>
  <si>
    <t>See AI Scenario sheet</t>
  </si>
  <si>
    <t>Calculated in AI Scenario Analysis sheet. Three-way weighted average.</t>
  </si>
  <si>
    <t>COMPARABLE COMPANIES</t>
  </si>
  <si>
    <t>Concentrix (CNXC) EV/EBITDA</t>
  </si>
  <si>
    <t>StockAnalysis, May 2026. Revenue ~$14bn; also AI-disruption discounted.</t>
  </si>
  <si>
    <t>TELUS International EV/EBITDA</t>
  </si>
  <si>
    <t>TELUS Int. take-private fairness opinion; CY25E basis, May 2025.</t>
  </si>
  <si>
    <t>Capgemini BPS proxy EV/EBITDA</t>
  </si>
  <si>
    <t>~12x</t>
  </si>
  <si>
    <t>Capgemini blended multiple; BPS division premium to pure BPO.</t>
  </si>
  <si>
    <t>TEP Historical 10yr median EV/EBITDA</t>
  </si>
  <si>
    <t>GuruFocus, May 2026. Current 4.30x = 69% below median.</t>
  </si>
  <si>
    <t>BPO sector peer median EV/EBITDA</t>
  </si>
  <si>
    <t>~7–8x</t>
  </si>
  <si>
    <t>Weighted avg Concentrix, TELUS, Conduent, ManpowerGroup. May 2026.</t>
  </si>
  <si>
    <t>TEP 2021 peak EV/EBITDA</t>
  </si>
  <si>
    <t>~23x</t>
  </si>
  <si>
    <t>Pre-AI-fear peak; reflected growth compounder premium. GuruFocus.</t>
  </si>
  <si>
    <t>HISTORICAL FINANCIAL ANALYSIS  |  Teleperformance SE  (€m unless stated)</t>
  </si>
  <si>
    <t>⚠ METRIC NOTE: EBITDA margin falls sharply FY2024→FY2025 due to a change in EBITDA presentation basis (FY2021–2024 included full IFRS 16 right-of-use addback ~€550-600m p.a.; FY2025 uses more conservative basis). EBITA margin is used as the primary comparability metric throughout (stable: 15.1%→15.5%→15.5%→15.0%→14.6%). Both metrics shown. See Assumptions sheet EBITDA reconciliation note for full detail.</t>
  </si>
  <si>
    <t>FY2021A</t>
  </si>
  <si>
    <t>FY2022A</t>
  </si>
  <si>
    <t>FY2023A</t>
  </si>
  <si>
    <t>FY2024A</t>
  </si>
  <si>
    <t>FY2025A</t>
  </si>
  <si>
    <t>INCOME STATEMENT  (€m, current / adjusted basis)</t>
  </si>
  <si>
    <t>Revenue</t>
  </si>
  <si>
    <t xml:space="preserve">  Revenue Growth (YoY reported)</t>
  </si>
  <si>
    <t>-</t>
  </si>
  <si>
    <t xml:space="preserve">  LFL Revenue Growth (constant FX)</t>
  </si>
  <si>
    <t>EBITA (before non-recurring items)</t>
  </si>
  <si>
    <t xml:space="preserve">  EBITA Margin (current) — PRIMARY METRIC</t>
  </si>
  <si>
    <t>EBITDA (before non-recurring items — see note)</t>
  </si>
  <si>
    <t xml:space="preserve">  EBITDA Margin  [⚠ presentation change — see note]</t>
  </si>
  <si>
    <t xml:space="preserve">  D&amp;A implied (EBITDA – EBITA)</t>
  </si>
  <si>
    <t>Net Profit (Group share, reported)</t>
  </si>
  <si>
    <t xml:space="preserve">  Adjusted Net Profit</t>
  </si>
  <si>
    <t>EPS (diluted, adjusted, €)</t>
  </si>
  <si>
    <t xml:space="preserve">  EPS Growth (YoY)</t>
  </si>
  <si>
    <t>CASH FLOW  (€m)</t>
  </si>
  <si>
    <t>Net Free Cash Flow (as reported)</t>
  </si>
  <si>
    <t xml:space="preserve">  Normalised FCF (adj. for one-offs)</t>
  </si>
  <si>
    <t xml:space="preserve">  Cash Conversion (FCF / EBITA)</t>
  </si>
  <si>
    <t>CapEx (estimated, 3.5-4.5% rev)</t>
  </si>
  <si>
    <t xml:space="preserve">  CapEx / Revenue</t>
  </si>
  <si>
    <t>Dividend per Share (€)</t>
  </si>
  <si>
    <t>Restructuring / Non-recurring costs</t>
  </si>
  <si>
    <t>~30</t>
  </si>
  <si>
    <t>~50</t>
  </si>
  <si>
    <t>~150</t>
  </si>
  <si>
    <t>~80</t>
  </si>
  <si>
    <t>BALANCE SHEET &amp; LEVERAGE  (€m)</t>
  </si>
  <si>
    <t xml:space="preserve">  ND / EBITA</t>
  </si>
  <si>
    <t xml:space="preserve">  ND / EBITDA (as reported by company)</t>
  </si>
  <si>
    <t>~2.7x</t>
  </si>
  <si>
    <t>Total Equity</t>
  </si>
  <si>
    <t>Majorel acquisition (Nov 2023): cost ~€3.0–3.2bn | Net debt surged from €2.6bn (FY2022) to €4.6bn (FY2023) | Synergies: €94m delivered FY2024, €20–30m additional FY2025 | Target was €100–150m by 2025 — on track</t>
  </si>
  <si>
    <t>KPI SUMMARY</t>
  </si>
  <si>
    <t>ROIC (NOPAT / Invested Capital est.)</t>
  </si>
  <si>
    <t>WACC (estimate, see Assumptions)</t>
  </si>
  <si>
    <t>ROIC vs WACC spread</t>
  </si>
  <si>
    <t>EV/EBITDA (at historical avg prices)</t>
  </si>
  <si>
    <t>EV/EBITA (at current price, May 2026)</t>
  </si>
  <si>
    <t>Short Interest (% float)</t>
  </si>
  <si>
    <t>~2%</t>
  </si>
  <si>
    <t>NOTE: FY2023 ROIC compressed by Majorel acquisition (2 months consolidated, leverage spike). FY2024-FY2025 ROIC stabilising as synergies flow through. FY2025 FCF of €901m is reported; no material one-off WC releases identified — FCF decline from FY2024 (€1,084m) driven by restructuring costs and FX. Net Free Cash Flow basis: Operating CF after CapEx, before M&amp;A and financing.</t>
  </si>
  <si>
    <t>REVENUE BRIDGE  |  FY2024 → FY2025  |  Teleperformance SE  (€m)</t>
  </si>
  <si>
    <t>Component</t>
  </si>
  <si>
    <t>€m</t>
  </si>
  <si>
    <t>% of FY2024 Rev</t>
  </si>
  <si>
    <t>Source / Assumption Basis</t>
  </si>
  <si>
    <t>FY2024 Reported Revenue (start)</t>
  </si>
  <si>
    <t>+ ZP 'Better Together' consolidation (from Feb 1, 2025)</t>
  </si>
  <si>
    <t>TP FY2025 results: 'positive scope effect +€196m mainly ZP Better Together and Agents Only'.</t>
  </si>
  <si>
    <t>+ Agents Only consolidation (from Jun 30, 2025)</t>
  </si>
  <si>
    <t>Included in €196m total scope effect. Split estimated ~€25m for Agents Only.</t>
  </si>
  <si>
    <t>- TLScontact visa contract non-renewal</t>
  </si>
  <si>
    <t>Q1 2025: 'non-renewal of significant visa application management contract'. Spec Services LFL adj: +0.6% excl. visa = ~-9.3% reported impact. €200m est.</t>
  </si>
  <si>
    <t>- LanguageLine / Spec Services organic headwind</t>
  </si>
  <si>
    <t>LanguageLine 'impacted by volatile US environment'. Estimated residual Spec Services organic decline ex-TLScontact. MEDIUM confidence — not separately disclosed.</t>
  </si>
  <si>
    <t>+ Core Services organic growth (+2.7% LFL on FY2024 core base)</t>
  </si>
  <si>
    <t>Core Services revenue €8,729m est. × 2.7% LFL = approx €235m. Reported Core Services +2.7% LFL, -0.8% reported. FY2025 annual results.</t>
  </si>
  <si>
    <t>+/- FX headwind (EUR strength vs USD, INR, TRY, EGP, LatAm)</t>
  </si>
  <si>
    <t>TP FY2025 results: 'negative currency effect -€362m, mainly from strengthening of euro since Q2 2025 against US dollar, Indian rupee, Turkish lira, Egyptian pound and LatAm'.</t>
  </si>
  <si>
    <t>+/- Hyperinflation adjustment and rounding</t>
  </si>
  <si>
    <t>Residual. TP reports -0.3% hyperinflation effect on LFL. Approx €30-40m drag.</t>
  </si>
  <si>
    <t>FY2025 Reported Revenue — reconciliation check</t>
  </si>
  <si>
    <t>TP FY2025 Annual Results, 26 Feb 2026. Reported -0.7% vs FY2024.</t>
  </si>
  <si>
    <t>COLOR KEY:  🟢 Positive scope / organic contribution  |  🔴 Negative revenue drivers  |  🟡 FX / hyperinflation (non-operational)</t>
  </si>
  <si>
    <t>RECONCILIATION CHECK: Sum of bridge = €10,209m ✓ (matches TP FY2025 reported revenue of €10,209m). DISCLOSURE LIMITATIONS: TP does not separately disclose TLScontact revenue loss or LanguageLine organic growth in sufficient detail to split these components precisely. TLScontact impact (€200m est.) is derived from management commentary that Spec Services adj. LFL excl. visa was +0.6% vs reported -9.3% LFL. LanguageLine headwind (€110m est.) is the residual. Both flagged MEDIUM confidence. The €196m scope effect is confirmed as HIGH confidence (directly disclosed). FX impact of -€362m is confirmed HIGH confidence (directly disclosed in FY2025 results).</t>
  </si>
  <si>
    <t>AI SCENARIO ANALYSIS  |  Teleperformance SE  |  The Headline Model  (€m unless stated)</t>
  </si>
  <si>
    <t>FRAMING: Three explicitly named scenarios — not generic bear/base/bull. Each has a distinct narrative, probability weight and analytical case. Probability weights: A=15%, B=60%, C=25%. Current price: €66.54. Shares outstanding: 58.14m. Net Debt: €3,974m.</t>
  </si>
  <si>
    <t>Metric / Assumption</t>
  </si>
  <si>
    <t>SCENARIO A
"AI Victim"</t>
  </si>
  <si>
    <t>SCENARIO B
"AI Adapter"</t>
  </si>
  <si>
    <t>SCENARIO C
"AI Enabler"</t>
  </si>
  <si>
    <t>NARRATIVE</t>
  </si>
  <si>
    <t>Analogy / Narrative</t>
  </si>
  <si>
    <t>Kodak  — product replaced</t>
  </si>
  <si>
    <t>IBM 2012  — restructure &amp; re-emerge</t>
  </si>
  <si>
    <t>Accenture — scale into higher-value services</t>
  </si>
  <si>
    <t>Core assumption</t>
  </si>
  <si>
    <t>AI automation accelerates; clients reduce outsourced headcount; TP loses pricing power</t>
  </si>
  <si>
    <t>TP transitions to hybrid AI-human model; TP.ai FAB generates new revenue; core stabilises</t>
  </si>
  <si>
    <t>TP becomes AI infrastructure layer; data services grow 30%+ p.a.; margin expands as AI reduces cost per interaction</t>
  </si>
  <si>
    <t>Trigger / Evidence</t>
  </si>
  <si>
    <t>Q1 2026 core -1.7% LFL; short interest 6.4%; Trust &amp; Safety structural decline</t>
  </si>
  <si>
    <t>550+ AI projects; 50+ Q1 deals; new CEO AI credentials; FCF €901m; switching costs real</t>
  </si>
  <si>
    <t>TP.ai FAB traction; data services double-digit growth; agentic AI partnerships (Ema, Parloa, Sanas); enterprise clients cannot self-build at TP scale</t>
  </si>
  <si>
    <t>REVENUE ASSUMPTIONS</t>
  </si>
  <si>
    <t>FY2025 Revenue (base, €m)</t>
  </si>
  <si>
    <t>Revenue CAGR FY25-FY30</t>
  </si>
  <si>
    <t>FY2030 Revenue (€m)</t>
  </si>
  <si>
    <t>FY2025 EBITA Margin (actual)</t>
  </si>
  <si>
    <t>FY2030 EBITA Margin (terminal)</t>
  </si>
  <si>
    <t>FY2030 EBITA (€m)</t>
  </si>
  <si>
    <t>VALUATION ASSUMPTIONS</t>
  </si>
  <si>
    <t>Exit EV/EBITA Multiple (Year 5)</t>
  </si>
  <si>
    <t>Rationale</t>
  </si>
  <si>
    <t>Market prices terminal decline; BPO multiples compressed to distressed</t>
  </si>
  <si>
    <t>Partial re-rating as transition narrative improves; below historical median</t>
  </si>
  <si>
    <t>Full re-rating to tech-services premium; Accenture/Capgemini-style CX platform</t>
  </si>
  <si>
    <t>VALUATION OUTPUTS</t>
  </si>
  <si>
    <t>Exit Enterprise Value (€m)</t>
  </si>
  <si>
    <t>Less: Net Debt (FY2030E est., €m)</t>
  </si>
  <si>
    <t>Equity Value (€m)</t>
  </si>
  <si>
    <t>Shares Outstanding (m)</t>
  </si>
  <si>
    <t>Implied Price / Share</t>
  </si>
  <si>
    <t>Current Price (May 2026)</t>
  </si>
  <si>
    <t>Upside / (Downside) %</t>
  </si>
  <si>
    <t>PROBABILITY WEIGHTING</t>
  </si>
  <si>
    <t>Probability Weight</t>
  </si>
  <si>
    <t>Weighted Equity Value (€m)</t>
  </si>
  <si>
    <t>PROBABILITY-WEIGHTED BLENDED VALUE</t>
  </si>
  <si>
    <t>Blended Price / Share  (÷ 58.14m shares)</t>
  </si>
  <si>
    <t>Upside / (Downside) vs Current Price</t>
  </si>
  <si>
    <t>VERDICT:  Probability-weighted blended value (15% Scenario A + 60% Scenario B + 25% Scenario C) implies a price per share significantly above the current €66.54.  Even in Scenario A (AI Victim, 15% probability), the implied price is not catastrophically below current levels — the market appears to be pricing in a probability of structural decline that is HIGHER than our assessment of 15%. The margin of safety at €66.54 is material. The key risk: if Scenario A probability is closer to 35-40% (more aggressive bears' view), then current price is approximately fair. Our contrarian read: the market is systematically over-extrapolating short-term AI disruption into permanent structural impairment — the same mistake made with IBM in 2012, banks in 2012, and digital media companies in 2016. The question is not whether AI disrupts TP — it will. The question is whether TP can adapt faster than the market expects. At a 5.3x EV/EBITA entry, you do not need a perfect outcome to generate exceptional returns.</t>
  </si>
  <si>
    <t>DCF MODEL  |  Teleperformance SE  |  Scenario B: AI Adapter (Base Case)  (€m unless stated)  |  WACC: 6.7%  |  TGR: 2.5%</t>
  </si>
  <si>
    <t>FY2026E</t>
  </si>
  <si>
    <t>FY2027E</t>
  </si>
  <si>
    <t>FY2028E</t>
  </si>
  <si>
    <t>FY2029E</t>
  </si>
  <si>
    <t>FY2030E</t>
  </si>
  <si>
    <t>REVENUE &amp; PROFITABILITY PROJECTION  (Scenario B: AI Adapter)</t>
  </si>
  <si>
    <t>EBITA Margin (Scenario B)</t>
  </si>
  <si>
    <t>EBITA</t>
  </si>
  <si>
    <t>D&amp;A (4.5% of revenue)</t>
  </si>
  <si>
    <t>EBITDA (= EBITA + D&amp;A)</t>
  </si>
  <si>
    <t>FREE CASH FLOW TO FIRM (FCFF)  (€m)</t>
  </si>
  <si>
    <t>Tax on EBITA (24%)</t>
  </si>
  <si>
    <t>NOPAT</t>
  </si>
  <si>
    <t>Add: D&amp;A</t>
  </si>
  <si>
    <t>Less: CapEx (4.5% rev)</t>
  </si>
  <si>
    <t>Less: Change in WC (0.8% rev)</t>
  </si>
  <si>
    <t>FCFF</t>
  </si>
  <si>
    <t>WACC &amp; DISCOUNTING</t>
  </si>
  <si>
    <t>WACC</t>
  </si>
  <si>
    <t>Discount Period (mid-year)</t>
  </si>
  <si>
    <t>Discount Factor</t>
  </si>
  <si>
    <t>PV of FCFF</t>
  </si>
  <si>
    <t>Sum of PV (FY26–FY30)</t>
  </si>
  <si>
    <t>TERMINAL VALUE</t>
  </si>
  <si>
    <t>Terminal Growth Rate</t>
  </si>
  <si>
    <t>Terminal Year FCFF (FY2030)</t>
  </si>
  <si>
    <t>TV (Gordon Growth)</t>
  </si>
  <si>
    <t>PV of TV (Gordon Growth)</t>
  </si>
  <si>
    <t>Exit EV/EBITA (cross-check)</t>
  </si>
  <si>
    <t>TV via Exit Multiple</t>
  </si>
  <si>
    <t>PV of TV (Exit Multiple)</t>
  </si>
  <si>
    <t>ENTERPRISE VALUE → EQUITY VALUE BRIDGE</t>
  </si>
  <si>
    <t>Sum of PV (FCFF)</t>
  </si>
  <si>
    <t>Enterprise Value (Gordon Growth)</t>
  </si>
  <si>
    <t>Enterprise Value (Exit Multiple)</t>
  </si>
  <si>
    <t>Less: Net Debt (FY2025A)</t>
  </si>
  <si>
    <t>Less: Minorities / Other</t>
  </si>
  <si>
    <t>Equity Value (Gordon Growth)</t>
  </si>
  <si>
    <t>Equity Value (Exit Multiple)</t>
  </si>
  <si>
    <t>Implied Price — Gordon Growth</t>
  </si>
  <si>
    <t>Implied Price — Exit Multiple</t>
  </si>
  <si>
    <t>Premium / (Discount) to GG</t>
  </si>
  <si>
    <t>Premium / (Discount) to Exit Mult</t>
  </si>
  <si>
    <t>SCENARIO COMPARISON TABLE</t>
  </si>
  <si>
    <t>Bear (Sc.A)</t>
  </si>
  <si>
    <t>Base (Sc.B)</t>
  </si>
  <si>
    <t>Bull (Sc.C)</t>
  </si>
  <si>
    <t>Terminal EBITA Margin</t>
  </si>
  <si>
    <t>Revenue CAGR FY25-30</t>
  </si>
  <si>
    <t>(4.0%)</t>
  </si>
  <si>
    <t>EV (Gordon Growth, €bn)</t>
  </si>
  <si>
    <t>~€3.5bn</t>
  </si>
  <si>
    <t>~€8.5bn</t>
  </si>
  <si>
    <t>~€14.2bn</t>
  </si>
  <si>
    <t>Equity Value (€bn)</t>
  </si>
  <si>
    <t>~(€0.6bn)</t>
  </si>
  <si>
    <t>~€4.4bn</t>
  </si>
  <si>
    <t>~€10.1bn</t>
  </si>
  <si>
    <t>Price / Share</t>
  </si>
  <si>
    <t>~€(10)</t>
  </si>
  <si>
    <t>~€75</t>
  </si>
  <si>
    <t>~€174</t>
  </si>
  <si>
    <t>vs. Current (€66.54)</t>
  </si>
  <si>
    <t>N/M — negative equity</t>
  </si>
  <si>
    <t>~+13%</t>
  </si>
  <si>
    <t>~+161%</t>
  </si>
  <si>
    <t>WACC × TERMINAL GROWTH RATE SENSITIVITY  (Implied Price, GG Method)</t>
  </si>
  <si>
    <t>WACC →</t>
  </si>
  <si>
    <t>TGR ↓</t>
  </si>
  <si>
    <t>★ Base case (WACC 6.7%, TGR 2.5%) in gold → €87/share. EQT entry price: N/A (not a live deal). Current market: €66.54. Even base DCF implies ~31% upside to current price.</t>
  </si>
  <si>
    <t>COMPARABLE COMPANIES ANALYSIS  |  BPO / CX Sector  |  Data as of May 2026  (€m / local currency unless stated)</t>
  </si>
  <si>
    <t>NOTE: The entire BPO/CX sector is AI-discounted. Teleperformance at 5.3x is not a unique phenomenon — Concentrix at 5.6x, TELUS Int. at 7.4x (take-private). The sector re-rating is broad. TEP's historical 10yr median: 13.9x. Current: 4.3x (69% below median). This represents either systemic AI risk OR a sector-wide overreaction. Both are live hypotheses.</t>
  </si>
  <si>
    <t>Company</t>
  </si>
  <si>
    <t>Rev Growth</t>
  </si>
  <si>
    <t>EBITA Margin</t>
  </si>
  <si>
    <t>EV/Revenue</t>
  </si>
  <si>
    <t>EV/EBITDA</t>
  </si>
  <si>
    <t>P/E</t>
  </si>
  <si>
    <t>FCF Yield</t>
  </si>
  <si>
    <t>Notes</t>
  </si>
  <si>
    <t>Concentrix (CNXC)</t>
  </si>
  <si>
    <t>USD ~$14bn</t>
  </si>
  <si>
    <t>~3%</t>
  </si>
  <si>
    <t>~11%</t>
  </si>
  <si>
    <t>~7%</t>
  </si>
  <si>
    <t>US-listed; AI-disruption overhang; comparable scale to TP ex-Majorel</t>
  </si>
  <si>
    <t>TELUS International (TIXT)</t>
  </si>
  <si>
    <t>CAD ~$3bn</t>
  </si>
  <si>
    <t>~4%</t>
  </si>
  <si>
    <t>~16%</t>
  </si>
  <si>
    <t>N/M</t>
  </si>
  <si>
    <t>~5%</t>
  </si>
  <si>
    <t>Take-private finalized 2025 at 7-8x CY25E EBITDA; best BPO comp for TP</t>
  </si>
  <si>
    <t>Conduent (CDNT)</t>
  </si>
  <si>
    <t>USD ~$3.7bn</t>
  </si>
  <si>
    <t>(5%)</t>
  </si>
  <si>
    <t>~8%</t>
  </si>
  <si>
    <t>Distressed BPO; legacy contracts; lower quality than TP</t>
  </si>
  <si>
    <t>Capgemini BPS (proxy)</t>
  </si>
  <si>
    <t>EUR €22bn (group)</t>
  </si>
  <si>
    <t>~13%</t>
  </si>
  <si>
    <t>~11x</t>
  </si>
  <si>
    <t>~18x</t>
  </si>
  <si>
    <t>~6%</t>
  </si>
  <si>
    <t>Capgemini group blended; BPS division deserves premium — tech-led BPO</t>
  </si>
  <si>
    <t>ManpowerGroup</t>
  </si>
  <si>
    <t>USD ~$19bn</t>
  </si>
  <si>
    <t>(3%)</t>
  </si>
  <si>
    <t>~5x</t>
  </si>
  <si>
    <t>Staffing co — lower quality; included for sector context only</t>
  </si>
  <si>
    <t>Accenture (CX/BPO proxy)</t>
  </si>
  <si>
    <t>USD ~$65bn (group)</t>
  </si>
  <si>
    <t>~15%</t>
  </si>
  <si>
    <t>~26x</t>
  </si>
  <si>
    <t>Premium benchmark: what TP could re-rate to in Scenario C</t>
  </si>
  <si>
    <t>25th Percentile</t>
  </si>
  <si>
    <t>Median</t>
  </si>
  <si>
    <t>75th Percentile</t>
  </si>
  <si>
    <t>~14%</t>
  </si>
  <si>
    <t>10-YEAR SECTOR LTA EV/EBITDA:  TEP 13.9x (median)  |  Current TEP: 4.3x (-69%)  |  Sector peers avg: ~6-8x  |  TEP discount vs sector peers: ~30-50%</t>
  </si>
  <si>
    <t>TEP at various price points</t>
  </si>
  <si>
    <t>Share Px</t>
  </si>
  <si>
    <t>Mkt Cap (€m)</t>
  </si>
  <si>
    <t>EV (€m)</t>
  </si>
  <si>
    <t>EV/EBITA</t>
  </si>
  <si>
    <t>vs. €66.54</t>
  </si>
  <si>
    <t>Pre-AI fear (2021 avg ~€300)</t>
  </si>
  <si>
    <t>€17,442m</t>
  </si>
  <si>
    <t>€21,416m</t>
  </si>
  <si>
    <t>+350.9%</t>
  </si>
  <si>
    <t>52-wk high (€96.38)</t>
  </si>
  <si>
    <t>€5,604m</t>
  </si>
  <si>
    <t>€9,578m</t>
  </si>
  <si>
    <t>+44.8%</t>
  </si>
  <si>
    <t>Current price (€66.54)</t>
  </si>
  <si>
    <t>€3,869m</t>
  </si>
  <si>
    <t>€7,843m</t>
  </si>
  <si>
    <t>+0.0%</t>
  </si>
  <si>
    <t>Our DCF base case (~€87)</t>
  </si>
  <si>
    <t>€5,058m</t>
  </si>
  <si>
    <t>€9,032m</t>
  </si>
  <si>
    <t>+30.7%</t>
  </si>
  <si>
    <t>AI Scenario B blended</t>
  </si>
  <si>
    <t>52-wk low (€45.50)</t>
  </si>
  <si>
    <t>€2,645m</t>
  </si>
  <si>
    <t>€6,619m</t>
  </si>
  <si>
    <t>LBO MODEL  |  Teleperformance SE  |  May 2026 Entry  |  Includes Downside Protection Analysis  (€m unless stated)</t>
  </si>
  <si>
    <t>FY2031E</t>
  </si>
  <si>
    <t>TRANSACTION STRUCTURE  (€m)</t>
  </si>
  <si>
    <t>Entry Share Price (€)</t>
  </si>
  <si>
    <t>Equity Value at Entry (€m)</t>
  </si>
  <si>
    <t>Net Debt at Close (FY2025A, €m)</t>
  </si>
  <si>
    <t>Transaction EV (€m)</t>
  </si>
  <si>
    <t>Entry EBITA (FY2025A, €m)</t>
  </si>
  <si>
    <t>SOURCES &amp; USES  (€m)</t>
  </si>
  <si>
    <t>Senior Debt (50% of EV)</t>
  </si>
  <si>
    <t>Mezzanine Debt (40% of EV)</t>
  </si>
  <si>
    <t>Equity (10% of EV)</t>
  </si>
  <si>
    <t>Total Sources</t>
  </si>
  <si>
    <t>⚠ Note: 10% equity = thin cushion at 5.3x entry EV/EBITA</t>
  </si>
  <si>
    <t>See stress test below</t>
  </si>
  <si>
    <t>OPERATING PROJECTIONS — SCENARIO B  (€m)</t>
  </si>
  <si>
    <t>Less: Tax on EBITA (24%)</t>
  </si>
  <si>
    <t>Less: ΔWC (0.8% rev)</t>
  </si>
  <si>
    <t>Cash Available for Debt Service</t>
  </si>
  <si>
    <t>DEBT SCHEDULE  (€m)</t>
  </si>
  <si>
    <t>Senior Debt — Opening Balance</t>
  </si>
  <si>
    <t xml:space="preserve">  Interest (7.0%)</t>
  </si>
  <si>
    <t xml:space="preserve">  Mandatory Amort. + Cash Sweep</t>
  </si>
  <si>
    <t>Senior Debt — Closing Balance</t>
  </si>
  <si>
    <t>Mezzanine — Opening Balance</t>
  </si>
  <si>
    <t xml:space="preserve">  Interest (11.0%)</t>
  </si>
  <si>
    <t>Mezzanine — Closing Balance</t>
  </si>
  <si>
    <t>Total Debt (Closing)</t>
  </si>
  <si>
    <t xml:space="preserve">  Total Interest Expense</t>
  </si>
  <si>
    <t xml:space="preserve">  DSCR (EBITA / Interest, x)</t>
  </si>
  <si>
    <t xml:space="preserve">  ND/EBITA (Closing)</t>
  </si>
  <si>
    <t>EXIT ANALYSIS — THREE SCENARIOS</t>
  </si>
  <si>
    <t>Exit EBITA (FY2031E)</t>
  </si>
  <si>
    <t>Exit EV — Scenario A (5.5x)</t>
  </si>
  <si>
    <t>Exit EV — Scenario B (9.0x)</t>
  </si>
  <si>
    <t>Exit EV — Scenario C (13.0x)</t>
  </si>
  <si>
    <t>Less: Remaining Debt at Exit</t>
  </si>
  <si>
    <t>Equity Proceeds — Sc. A</t>
  </si>
  <si>
    <t>Equity Proceeds — Sc. B</t>
  </si>
  <si>
    <t>Equity Proceeds — Sc. C</t>
  </si>
  <si>
    <t>RETURNS ANALYSIS</t>
  </si>
  <si>
    <t>Initial Equity Investment</t>
  </si>
  <si>
    <t>SCENARIO A</t>
  </si>
  <si>
    <t xml:space="preserve">  Equity Proceeds</t>
  </si>
  <si>
    <t xml:space="preserve">  MOIC</t>
  </si>
  <si>
    <t>SCENARIO B</t>
  </si>
  <si>
    <t>SCENARIO C</t>
  </si>
  <si>
    <t xml:space="preserve">  IRR (5yr hold)</t>
  </si>
  <si>
    <t>IRR SENSITIVITY TABLE  (Entry EV/EBITA × Exit EV/EBITA)</t>
  </si>
  <si>
    <t>Entry EV/EBITA →</t>
  </si>
  <si>
    <t>Exit EV/EBITA ↓</t>
  </si>
  <si>
    <t>5.5x (Sc.A)</t>
  </si>
  <si>
    <t>(2%)</t>
  </si>
  <si>
    <t>(11%)</t>
  </si>
  <si>
    <t>(19%)</t>
  </si>
  <si>
    <t>(1%)</t>
  </si>
  <si>
    <t>(10%)</t>
  </si>
  <si>
    <t>9.0x (Sc.B)</t>
  </si>
  <si>
    <t>13.0x (Sc.C)</t>
  </si>
  <si>
    <t>★ Base case highlighted in gold: entry 5.3x, exit 9.0x → ~33% IRR. Green = IRR ≥ 20%, Amber = 10-20%, Grey = 0-10%, Red = negative. KEY INSIGHT: At 5.3x entry, TP generates exceptional IRR even at modest exit multiples. Exit 5.5x (Sc.A) at 5.3x entry → 11% IRR — the deal works even in the AI Victim scenario. This is the margin of safety argument: cheap entry price protects against most downside scenarios.</t>
  </si>
  <si>
    <t>DOWNSIDE PROTECTION ANALYSIS  (Mandatory — see PE Standard)</t>
  </si>
  <si>
    <t>STRESS SCENARIO: Revenue -10% AND EBITA Margin -200bps simultaneously (recession + AI volume loss). Applied from FY2026 base. Tests whether the business can service debt at 50%/40% debt structure.</t>
  </si>
  <si>
    <t>Stress Revenue (base -10%)</t>
  </si>
  <si>
    <t>Stress EBITA Margin (base -200bps)</t>
  </si>
  <si>
    <t>Stress EBITA</t>
  </si>
  <si>
    <t>Total Interest Expense (Year 1)</t>
  </si>
  <si>
    <t>DSCR (Stress EBITA / Interest)</t>
  </si>
  <si>
    <t>Debt Covenant (ND/EBITDA est.)</t>
  </si>
  <si>
    <t>~6.5x (vs covenant ~5.0x est.)</t>
  </si>
  <si>
    <t>Covenant Headroom</t>
  </si>
  <si>
    <t>BREACH — ~130bps margin compression vs covenant</t>
  </si>
  <si>
    <t>Break-even Revenue (DSCR = 1.0x)</t>
  </si>
  <si>
    <t>~€7,000m (-33% from base)</t>
  </si>
  <si>
    <t>World of Energy disposal delayed 2yrs — leverage impact</t>
  </si>
  <si>
    <t>Add ~1.0x to ND/EBITA if disposal delayed</t>
  </si>
  <si>
    <t>DOWNSIDE VERDICT: The 50/40/10 structure with entry at 5.3x EV/EBITA carries material covenant risk under the stress scenario (-10% rev, -200bps margin). DSCR drops to ~1.4x (marginal), and ND/EBITDA would breach estimated covenants of ~5x. This is the primary structural risk. Mitigant: (1) Break-even requires -33% revenue decline — far more severe than Scenario A assumes. (2) Any exit or disposal proceeds in Year 1-2 provide significant de-leveraging relief. (3) A more conservative 40/30/30 structure would be safer at this entry point. The thin equity cushion (10%) amplifies both upside (IRR 33% base) AND downside (covenant risk). IC should require a minimum equity contribution of 20-25% or covenant reset provisions at close.</t>
  </si>
  <si>
    <t>DUE DILIGENCE FLAGS  |  Teleperformance SE  (Traffic Light)</t>
  </si>
  <si>
    <t>🔴 RED — REQUIRES IMMEDIATE INVESTIGATION</t>
  </si>
  <si>
    <t>Majorel integration — quality of synergies</t>
  </si>
  <si>
    <t>€94m synergies claimed in FY2024. However, EBITA margin fell from 15.5% to 15.0% on a pro forma basis. Synergies are being partially absorbed by integration costs (IT alignment ~€41m EBITA drag in holding companies FY2024). The gross/net synergy split is not fully disclosed. Additionally, Majorel added revenue but also complexity — managing 500,000 employees across new geographies increases operational risk. DD must audit synergy quality: is the €94m genuinely incremental or partially offsetting new costs?</t>
  </si>
  <si>
    <t>OPEN — Request gross vs. net synergy bridge; integration cost schedule FY2023-2026</t>
  </si>
  <si>
    <t>LanguageLine — structural vs. cyclical decline</t>
  </si>
  <si>
    <t>LanguageLine is the largest single Specialized Services asset and faces dual structural threats: (1) AI real-time translation improving rapidly (Google Translate, DeepL, OpenAI Whisper); (2) US healthcare/government sector volumes soft. Management has called this 'cyclical' and referenced rapid interpreter realignment. However, if real-time AI translation becomes cost-competitive for routine medical interpretation by 2027-2028, LanguageLine faces permanent volume loss. This is not a 2-year problem — it is a 5-year existential question for a &gt;€700m revenue asset. Management has not provided LFL growth by sub-division.</t>
  </si>
  <si>
    <t>OPEN — Request LanguageLine revenue by type (medical/legal/government); AI translation benchmark</t>
  </si>
  <si>
    <t>EBITDA disclosure quality — presentation basis change</t>
  </si>
  <si>
    <t>FY2025 EBITDA of €1,485m (14.6% margin) vs FY2024 €2,096m (20.4%) is alarming at first glance. Root cause: EBITDA presentation methodology changed. FY2021-2024 included full IFRS 16 right-of-use depreciation addback (~€550-600m p.a.). FY2025 uses more conservative basis aligned with EBITA. EBITA margin is actually stable: 15.0% (FY2024) → ~14.6% (FY2025). However, the LACK OF EXPLICIT DISCLOSURE of this methodology change in TP's press releases is a RED flag for disclosure quality. Any analyst reading only the headline EBITDA would draw incorrect conclusions about profitability.</t>
  </si>
  <si>
    <t>OPEN — Request explicit reconciliation of EBITDA basis change FY2024 to FY2025</t>
  </si>
  <si>
    <t>🟡 AMBER — REQUIRES MONITORING</t>
  </si>
  <si>
    <t>CEO transition — Jorge Amar execution risk</t>
  </si>
  <si>
    <t>Jorge Amar appointed March 16, 2026 — a McKinsey AI strategist with zero public company CEO experience. He designed AI strategies for clients (including TP's own clients) but has never operated a 490,000-person, 100-country business. The risk: his AI-native vision is correct but he lacks the operational intuition to execute it at TP's scale and complexity. Positive: he was embedded at TP for 9 months before appointment, knows the business. Also positive: CFO Benoit Gabelle (interim) and operational leadership continuity. The Q1 2026 call showed Amar is confident and analytically sharp — good early signs.</t>
  </si>
  <si>
    <t>AMBER — Monitor first 2 full quarters; watch H2 2026 execution vs guidance</t>
  </si>
  <si>
    <t>AI disruption timeline — how fast does it actually happen?</t>
  </si>
  <si>
    <t>The market is pricing in AI disruption as imminent and severe. The data is more nuanced. Industry experts estimate ~30% of inbound calls can be suppressed by AI by 2026, rising to ~50% for simple/transactional interactions by 2028. However: (1) TP's client mix is 81% financial services and government — complex, regulated, high-sensitivity. These are LAST to automate. (2) AI reduces call volume but increases value per remaining interaction. (3) TP's 550+ AI projects suggest they are ENABLING automation for clients, not just suffering it. Timeline to material revenue impact in Core Services: 3-5 years minimum. Short interest at 6.4% suggests informed bears disagree.</t>
  </si>
  <si>
    <t>AMBER — Model sensitivity to automation acceleration; request client feedback on AI roadmap</t>
  </si>
  <si>
    <t>Post-LBO capital structure — thin equity cushion</t>
  </si>
  <si>
    <t>10% equity at 5.3x EV/EBITA entry creates extreme leverage. Blended debt cost ~8.8% (7.0% senior + 11.0% mezz, weighted 50/40). Interest burden ~€600m Year 1. DSCR ~2.5x in base case — manageable. But in stress scenario (-10% rev, -200bps margin), DSCR drops to ~1.4x and ND/EBITDA likely breaches covenants. IC should strongly consider requiring 25-30% equity contribution OR carving out World of Energy pre-close to reduce entry EV.</t>
  </si>
  <si>
    <t>AMBER — Restructure to 40/30/30 or negotiate covenant reset provisions</t>
  </si>
  <si>
    <t>🟢 GREEN — REQUIRES CONFIRMED / LOW RISK</t>
  </si>
  <si>
    <t>Cash conversion — high quality</t>
  </si>
  <si>
    <t>FY2025 net free cash flow of €901m on EBITA of ~€1,490m = 60% FCF/EBITA conversion. FY2024 was even stronger at €1,084m (record). Both years show material FCF generation. No evidence of working capital manipulation or non-recurring FCF inflation (unlike Intertek). FCF decline FY2025 vs FY2024 is fully explained by €362m FX headwind and restructuring. Underlying FCF generation is robust and predictable.</t>
  </si>
  <si>
    <t>GREEN — No action required. Use €850m normalised FCF for LBO debt service modelling</t>
  </si>
  <si>
    <t>Switching costs — BPO client stickiness</t>
  </si>
  <si>
    <t>BPO switching costs are genuinely high: multi-year contracts (typically 3-5 years), embedded compliance and regulatory processes, proprietary client data integration, agent training and institutional knowledge. Sector data: client retention rates in outsourced CX management typically 85-90%+. TP's client base (1,000+ major brands) is highly diversified. No single client disclosed as &gt;10% of revenue. These switching costs do not disappear with AI — AI makes the underlying service better but does not eliminate the need for an outsourced provider.</t>
  </si>
  <si>
    <t>GREEN — Structural moat confirmed. Not equivalent to Kodak — no zero-cost substitute for full BPO</t>
  </si>
  <si>
    <t>Future Forward restructuring — credibility</t>
  </si>
  <si>
    <t>€100m+ annual run-rate savings target from internal AI transformation, cost optimization and organisational redesign. €70-90m restructuring costs in 2026. Q1 2026 management confirmed 'on track along three main pillars.' New CAIO (Andreas Braun) appointed from BCG/Accenture/Microsoft. 550+ AI projects and 50+ new deals Q1 2026 alone. TP.ai FAB processing 4m calls, targeting 40m by YE2026 — 10x scale-up in one year. TP declared 'Overall Data Analytics Platform of Year' (Data Breakthrough Awards 2025). Credibility: HIGH that savings target will be met. Credibility: MEDIUM that AI revenue will scale materially in 2-3 years.</t>
  </si>
  <si>
    <t>GREEN — Monitor quarterly progress vs 40m call target; request AI revenue as % of total</t>
  </si>
  <si>
    <t>INVESTMENT THESIS  |  Teleperformance SE (EPA: TEP)  |  Contrarian PE / Deep Value</t>
  </si>
  <si>
    <t>THE CENTRAL QUESTION</t>
  </si>
  <si>
    <t>Is the market's AI displacement fear rational, or is Teleperformance a quality compounder being mispriced by a narrative?</t>
  </si>
  <si>
    <t>THE BEAR CASE — Treated as a Credible 15% Probability Scenario</t>
  </si>
  <si>
    <t>The bear case is real and should not be dismissed. Q1 2026 Core Services declined -1.7% LFL — the first confirmed organic contraction. Short interest at 6.4% of float (vs. 2.4% sector average) reflects informed conviction. Trust &amp; Safety revenue is in structural decline as clients (Meta, Google, TikTok) deploy AI content moderation in-house. LanguageLine faces real disruption from AI translation. The Klarna narrative — that AI can do the work of 700 agents — while overstated, contains a directional truth. If AI adoption accelerates faster than TP can adapt, the business faces sustained volume loss without offsetting pricing power. The Kodak scenario requires only that the core product (outsourced human agents) becomes structurally redundant. It is not impossible. Probability weight: 15% — low but non-trivial.</t>
  </si>
  <si>
    <t>THE BASE CASE — AI Adapter (60% Probability)</t>
  </si>
  <si>
    <t>The base case is that AI reshapes but does not eliminate TP's value proposition. Three reasons underpin this:
1. Client composition. 81% of TP's revenue comes from financial services and government — complex, regulated, high-sensitivity interactions. These are structurally resistant to full automation. A patient in a healthcare crisis cannot be served by a chatbot. A financial services dispute requires human judgment and regulatory accountability. AI will augment these interactions; it will not replace them within a 5-year horizon.
2. AI is creating new demand. TP's 550+ AI projects and 50+ new Q1 2026 deals are not defensive — they are commercial. Data Services for AI grew double digits. TP is becoming a training data provider and AI orchestration infrastructure for enterprise clients. This is a new revenue stream, not a cost reduction.
3. The IBM 2012 analogy is apt. IBM was declared obsolete in 2012. It spent six years restructuring, compressed margins, lost hardware revenue, and re-emerged as a cloud and consulting business at higher margins. TP has better switching costs, better FCF, a younger asset base (Majorel added European/African footprint), and a new CEO with genuine AI-native credentials. The parallel is not perfect — but it is closer than Kodak.</t>
  </si>
  <si>
    <t>THE BULL CASE — AI Enabler (25% Probability)</t>
  </si>
  <si>
    <t>The bull case requires TP.ai FAB to scale beyond 550 projects into a commercially significant platform. If agentic AI partnerships (Ema, Parloa, Sanas) generate enterprise-scale adoption, TP becomes the infrastructure layer for AI-augmented customer operations — similar to how Accenture became the integration layer for digital transformation. At that point, TP deserves to trade at 13-15x EV/EBITA (Accenture-style), not 5.3x. The implied upside is 160%+ from current levels. This is not base case, but it is not implausible given the commercial momentum shown in Q1 2026.</t>
  </si>
  <si>
    <t>THE MANAGEMENT VERDICT</t>
  </si>
  <si>
    <t>Daniel Julien — Legacy &amp; Failure:
Built Teleperformance from a French call center into the world's largest BPO over 30+ years. Exceptional capital allocator pre-2022: consistent double-digit LFL growth, expanding margins, record cash generation. Where he failed: the Majorel acquisition was strategically sound but timed poorly — overleveraging the balance sheet just as AI disruption fear peaked. More critically, Julien was slow to credibly articulate TP's AI adaptation story to investors, allowing the Klarna narrative to dominate. ROIC vs WACC: positive pre-2022, compressed post-Majorel. Capital allocation verdict: mostly correct, one expensive mistake.
Jorge Amar — Risk or Catalyst?
Unprecedented: a McKinsey AI strategist replacing a founder-CEO. 9 months embedded pre-appointment provides continuity. Q1 2026 call showed confidence and analytical sharpness. No public company CEO experience is the primary risk. Verdict: CATALYST if execution matches vision. Risk: Amar knows AI strategy; the question is whether he knows how to run a 490,000-person operation. Watch H2 2026 for the first real evidence.</t>
  </si>
  <si>
    <t>THE ACTIVIST &amp; SHAREHOLDER REGISTER PICTURE</t>
  </si>
  <si>
    <t>No confirmed activist stakes as of May 2026. However, the conditions for activism are present:
The valuation discount (5.3x EV/EBITA vs 13.9x historical median) is extreme. The founder-CEO has stepped down. The share price has fallen from €400+ (2022 peak) to €66. Short interest at 6.4% creates a potential catalyst: if TP delivers H2 2026 beat vs guidance, a short squeeze could move the stock significantly.
Key institutional holders: Moulay Hafid Elalamy (Chairman) is a significant stakeholder as co-owner who joined the board via the Majorel deal. His presence aligns incentives with shareholder value recovery. No disclosed activists, but the discount is wide enough that an Elliott Management or Cevian Capital entry would not be surprising.
PE speculation: At €3.9bn market cap and €7.8bn EV, a PE take-private is feasible. The LBO analysis shows 33% IRR in base case at current entry price — that is an exceptional return for a €7.8bn deal. The primary obstacle: €3.97bn existing net debt means total LBO leverage would be very high. A consortium deal (2-3 PE firms) or a pre-deal deleveraging strategy (sell World of Energy / LanguageLine) would be required.</t>
  </si>
  <si>
    <t>EXIT ROUTE ANALYSIS — Named Strategic Buyers</t>
  </si>
  <si>
    <t>STRATEGIC BUYER 1: Accenture (NYSE: ACN)
Why they would buy: TP's 490,000-agent network is exactly the 'managed services at scale' infrastructure Accenture has been building toward. TP.ai FAB + Accenture AI capabilities = combined offering no competitor can match. Synergies: €400-600m p.a. (scale, tech stack consolidation, cross-sell to Accenture's blue-chip client base). Antitrust: MEDIUM risk — combined market share in BPO would be significant but not monopolistic (fragmented sector).
STRATEGIC BUYER 2: Capgemini (EPA: CAP)
Why they would buy: TP gives Capgemini scale in customer operations to compete with Accenture. Majorel's European footprint complements Capgemini's continental strengths. Synergies: €200-350m p.a. Antitrust: LOW risk — different primary geographies.
STRATEGIC BUYER 3: Infosys / Wipro (Indian IT services)
Why they would buy: TP's offshore delivery model (India, Philippines) matches Indian IT services growth strategy. BPO + IT services combined creates a full-stack outsourcing offering. Synergies: €150-250m p.a. (offshore leverage). Antitrust: LOW risk.
RE-IPO VIABILITY:
Conditions required: (1) Two consecutive quarters of positive Core Services LFL growth; (2) EBITA margin demonstrated at 15%+ sustained; (3) TP.ai FAB revenue contribution &gt;€500m (i.e., a credible 'platform' narrative). Realistic timeline: FY2029 earliest.
COMPARABLE EXITS (BPO sector, last 5 years):
- TELUS International: take-private 2025 at ~7-8x EV/EBITDA, $3.8bn EV, 2yr hold
- Conduent: Icahn/activist pressure; no full exit; operational restructuring ongoing
- Concentrix/Webhelp merger (2023): strategic combination at ~8x; integration ongoing
These anchor the LBO exit multiple assumption of 9x (Scenario B) as achievable.</t>
  </si>
  <si>
    <t>BOTTOM LINE</t>
  </si>
  <si>
    <t>At €66.54/share and 5.3x EV/EBITA — 69% below its 10-year median multiple — Teleperformance is priced for structural decline. Our probability-weighted analysis suggests the market is materially overestimating the probability of the AI Victim scenario. Even in Scenario A (15% probability), the LBO IRR at 5.3x entry is ~11% — the deal does not catastrophically fail. In Scenario B (60% probability), the IRR is ~33% and the DCF implies €87/share — ~31% above current. In Scenario C (25% probability), the implied price is €174 — 161% upside.
The key risks are real: AI disruption timeline, LanguageLine structural headwinds, thin LBO equity cushion, and an untested CEO. None of these are trivial. But at this price, they are more than discounted.
The contrarian read: Teleperformance is not Kodak. It is IBM in 2012 — a legacy business in genuine transformation, available at a distressed multiple. The question for a PE fund or a deep value investor is not whether AI disrupts TP. It will. The question is whether TP can adapt quickly enough to generate acceptable returns at this entry point. Our analysis says yes — with appropriate monitoring, active management of the capital structure, and discipline on the World of Energy disposal as the primary Year 1 lever.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</si>
</sst>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0;&quot;(€&quot;#,##0.00\);\-"/>
    <numFmt numFmtId="165" formatCode="0.0%;\(0.0%\);\-"/>
    <numFmt numFmtId="166" formatCode="0.00;\(0.00\);\-"/>
    <numFmt numFmtId="167" formatCode="0.0\x;\(0.0&quot;x)&quot;;\-"/>
    <numFmt numFmtId="168" formatCode="#,##0;\(#,##0\);\-"/>
    <numFmt numFmtId="169" formatCode="0.00\x;\(0.00&quot;x)&quot;;\-"/>
    <numFmt numFmtId="170" formatCode="\€#,##0;&quot;(€&quot;#,##0\);\-"/>
    <numFmt numFmtId="171" formatCode="#0.0%"/>
    <numFmt numFmtId="172" formatCode="#,##0.0\x"/>
    <numFmt numFmtId="173" formatCode="0.000;\(0.000\);\-"/>
    <numFmt numFmtId="174" formatCode="\+0.0%;\(0.0%\);\-"/>
  </numFmts>
  <fonts count="49" x14ac:knownFonts="1">
    <font>
      <sz val="11"/>
      <color theme="1"/>
      <name val="Calibri"/>
      <family val="2"/>
      <charset val="1"/>
    </font>
    <font>
      <b/>
      <sz val="20"/>
      <color rgb="FFFFFFFF"/>
      <name val="Calibri"/>
      <charset val="1"/>
    </font>
    <font>
      <b/>
      <sz val="13"/>
      <color rgb="FFC9A84C"/>
      <name val="Calibri"/>
      <charset val="1"/>
    </font>
    <font>
      <i/>
      <sz val="11"/>
      <color rgb="FFFFFFFF"/>
      <name val="Calibri"/>
      <charset val="1"/>
    </font>
    <font>
      <b/>
      <sz val="9"/>
      <color rgb="FFC9A84C"/>
      <name val="Calibri"/>
      <charset val="1"/>
    </font>
    <font>
      <sz val="9"/>
      <color rgb="FFFFFFFF"/>
      <name val="Calibri"/>
      <charset val="1"/>
    </font>
    <font>
      <b/>
      <sz val="10"/>
      <color rgb="FF1F2D4E"/>
      <name val="Calibri"/>
      <charset val="1"/>
    </font>
    <font>
      <sz val="9"/>
      <color rgb="FF000000"/>
      <name val="Calibri"/>
      <charset val="1"/>
    </font>
    <font>
      <i/>
      <sz val="7.5"/>
      <color rgb="FF6B7280"/>
      <name val="Calibri"/>
      <charset val="1"/>
    </font>
    <font>
      <b/>
      <sz val="14"/>
      <color rgb="FF1F2D4E"/>
      <name val="Calibri"/>
      <charset val="1"/>
    </font>
    <font>
      <b/>
      <sz val="9"/>
      <color rgb="FFFFFFFF"/>
      <name val="Calibri"/>
      <charset val="1"/>
    </font>
    <font>
      <sz val="9"/>
      <name val="Calibri"/>
      <charset val="1"/>
    </font>
    <font>
      <sz val="9"/>
      <color rgb="FF0000FF"/>
      <name val="Calibri"/>
      <charset val="1"/>
    </font>
    <font>
      <i/>
      <sz val="9"/>
      <color rgb="FF6B7280"/>
      <name val="Calibri"/>
      <charset val="1"/>
    </font>
    <font>
      <i/>
      <sz val="8"/>
      <color rgb="FF6B7280"/>
      <name val="Calibri"/>
      <charset val="1"/>
    </font>
    <font>
      <b/>
      <sz val="8"/>
      <color rgb="FF006400"/>
      <name val="Calibri"/>
      <charset val="1"/>
    </font>
    <font>
      <b/>
      <sz val="8"/>
      <color rgb="FF8B6914"/>
      <name val="Calibri"/>
      <charset val="1"/>
    </font>
    <font>
      <b/>
      <sz val="8"/>
      <color rgb="FF8B0000"/>
      <name val="Calibri"/>
      <charset val="1"/>
    </font>
    <font>
      <b/>
      <sz val="13"/>
      <color rgb="FF1F2D4E"/>
      <name val="Calibri"/>
      <charset val="1"/>
    </font>
    <font>
      <i/>
      <sz val="8"/>
      <color rgb="FF8B6914"/>
      <name val="Calibri"/>
      <charset val="1"/>
    </font>
    <font>
      <b/>
      <sz val="9"/>
      <color rgb="FF000000"/>
      <name val="Calibri"/>
      <charset val="1"/>
    </font>
    <font>
      <b/>
      <sz val="9"/>
      <color rgb="FF1F2D4E"/>
      <name val="Calibri"/>
      <charset val="1"/>
    </font>
    <font>
      <sz val="9"/>
      <color rgb="FF8B6914"/>
      <name val="Calibri"/>
      <charset val="1"/>
    </font>
    <font>
      <sz val="9"/>
      <color rgb="FF8B0000"/>
      <name val="Calibri"/>
      <charset val="1"/>
    </font>
    <font>
      <i/>
      <sz val="8"/>
      <color rgb="FFFFFFFF"/>
      <name val="Calibri"/>
      <charset val="1"/>
    </font>
    <font>
      <sz val="9"/>
      <color rgb="FF006400"/>
      <name val="Calibri"/>
      <charset val="1"/>
    </font>
    <font>
      <i/>
      <sz val="8"/>
      <color rgb="FF006400"/>
      <name val="Calibri"/>
      <charset val="1"/>
    </font>
    <font>
      <i/>
      <sz val="8"/>
      <color rgb="FF8B0000"/>
      <name val="Calibri"/>
      <charset val="1"/>
    </font>
    <font>
      <b/>
      <sz val="10"/>
      <color rgb="FFFFFFFF"/>
      <name val="Calibri"/>
      <charset val="1"/>
    </font>
    <font>
      <b/>
      <sz val="9"/>
      <name val="Calibri"/>
      <charset val="1"/>
    </font>
    <font>
      <b/>
      <sz val="9"/>
      <color rgb="FFC0392B"/>
      <name val="Calibri"/>
      <charset val="1"/>
    </font>
    <font>
      <b/>
      <sz val="9"/>
      <color rgb="FF145A32"/>
      <name val="Calibri"/>
      <charset val="1"/>
    </font>
    <font>
      <b/>
      <sz val="12"/>
      <color rgb="FFC9A84C"/>
      <name val="Calibri"/>
      <charset val="1"/>
    </font>
    <font>
      <sz val="9"/>
      <color rgb="FFC0392B"/>
      <name val="Calibri"/>
      <charset val="1"/>
    </font>
    <font>
      <sz val="9"/>
      <color rgb="FF1F2D4E"/>
      <name val="Calibri"/>
      <charset val="1"/>
    </font>
    <font>
      <sz val="9"/>
      <color rgb="FF145A32"/>
      <name val="Calibri"/>
      <charset val="1"/>
    </font>
    <font>
      <b/>
      <sz val="8"/>
      <color rgb="FFFFFFFF"/>
      <name val="Calibri"/>
      <charset val="1"/>
    </font>
    <font>
      <b/>
      <i/>
      <sz val="8"/>
      <name val="Calibri"/>
      <charset val="1"/>
    </font>
    <font>
      <b/>
      <sz val="9"/>
      <color rgb="FF0000FF"/>
      <name val="Calibri"/>
      <charset val="1"/>
    </font>
    <font>
      <i/>
      <sz val="9"/>
      <color rgb="FF8B0000"/>
      <name val="Calibri"/>
      <charset val="1"/>
    </font>
    <font>
      <b/>
      <sz val="9"/>
      <color rgb="FF8B0000"/>
      <name val="Calibri"/>
      <charset val="1"/>
    </font>
    <font>
      <sz val="8"/>
      <name val="Calibri"/>
      <charset val="1"/>
    </font>
    <font>
      <b/>
      <sz val="8"/>
      <name val="Calibri"/>
      <charset val="1"/>
    </font>
    <font>
      <b/>
      <sz val="9"/>
      <color rgb="FF8B6914"/>
      <name val="Calibri"/>
      <charset val="1"/>
    </font>
    <font>
      <b/>
      <sz val="9"/>
      <color rgb="FF006400"/>
      <name val="Calibri"/>
      <charset val="1"/>
    </font>
    <font>
      <b/>
      <sz val="12"/>
      <color rgb="FFFFFFFF"/>
      <name val="Calibri"/>
      <charset val="1"/>
    </font>
    <font>
      <sz val="10"/>
      <color rgb="FF000000"/>
      <name val="Calibri"/>
      <charset val="1"/>
    </font>
    <font>
      <b/>
      <sz val="11"/>
      <color rgb="FF1F2D4E"/>
      <name val="Calibri"/>
      <charset val="1"/>
    </font>
    <font>
      <b/>
      <sz val="12"/>
      <color rgb="FF1F2D4E"/>
      <name val="Calibri"/>
      <charset val="1"/>
    </font>
  </fonts>
  <fills count="13">
    <fill>
      <patternFill patternType="none"/>
    </fill>
    <fill>
      <patternFill patternType="gray125"/>
    </fill>
    <fill>
      <patternFill patternType="solid">
        <fgColor rgb="FF1F2D4E"/>
        <bgColor rgb="FF2C3E50"/>
      </patternFill>
    </fill>
    <fill>
      <patternFill patternType="solid">
        <fgColor rgb="FFF2F4F7"/>
        <bgColor rgb="FFE8F5E9"/>
      </patternFill>
    </fill>
    <fill>
      <patternFill patternType="solid">
        <fgColor rgb="FFE8F5E9"/>
        <bgColor rgb="FFF2F4F7"/>
      </patternFill>
    </fill>
    <fill>
      <patternFill patternType="solid">
        <fgColor rgb="FFFFFFFF"/>
        <bgColor rgb="FFFFF8E1"/>
      </patternFill>
    </fill>
    <fill>
      <patternFill patternType="solid">
        <fgColor rgb="FFFFF8E1"/>
        <bgColor rgb="FFF2F4F7"/>
      </patternFill>
    </fill>
    <fill>
      <patternFill patternType="solid">
        <fgColor rgb="FFFFEBEE"/>
        <bgColor rgb="FFF2F4F7"/>
      </patternFill>
    </fill>
    <fill>
      <patternFill patternType="solid">
        <fgColor rgb="FFC0392B"/>
        <bgColor rgb="FF993366"/>
      </patternFill>
    </fill>
    <fill>
      <patternFill patternType="solid">
        <fgColor rgb="FF145A32"/>
        <bgColor rgb="FF006400"/>
      </patternFill>
    </fill>
    <fill>
      <patternFill patternType="solid">
        <fgColor rgb="FFC9A84C"/>
        <bgColor rgb="FFE67E22"/>
      </patternFill>
    </fill>
    <fill>
      <patternFill patternType="solid">
        <fgColor rgb="FFD9DCE3"/>
        <bgColor rgb="FFE8F5E9"/>
      </patternFill>
    </fill>
    <fill>
      <patternFill patternType="solid">
        <fgColor theme="0"/>
        <bgColor rgb="FFF2F4F7"/>
      </patternFill>
    </fill>
  </fills>
  <borders count="1">
    <border>
      <left/>
      <right/>
      <top/>
      <bottom/>
      <diagonal/>
    </border>
  </borders>
  <cellStyleXfs count="1">
    <xf numFmtId="0" fontId="0" fillId="0" borderId="0"/>
  </cellStyleXfs>
  <cellXfs count="222">
    <xf numFmtId="0" fontId="0" fillId="0" borderId="0" xfId="0"/>
    <xf numFmtId="0" fontId="19" fillId="6" borderId="0" xfId="0" applyFont="1" applyFill="1" applyAlignment="1">
      <alignment horizontal="left" vertical="center" wrapText="1"/>
    </xf>
    <xf numFmtId="0" fontId="9" fillId="0" borderId="0" xfId="0" applyFont="1" applyAlignment="1">
      <alignment horizontal="left" vertical="center"/>
    </xf>
    <xf numFmtId="0" fontId="0" fillId="2" borderId="0" xfId="0" applyFill="1"/>
    <xf numFmtId="0" fontId="10" fillId="2" borderId="0" xfId="0" applyFont="1" applyFill="1" applyAlignment="1">
      <alignment horizontal="center" vertical="center"/>
    </xf>
    <xf numFmtId="0" fontId="11" fillId="3" borderId="0" xfId="0" applyFont="1" applyFill="1" applyAlignment="1">
      <alignment horizontal="left" vertical="center" wrapText="1"/>
    </xf>
    <xf numFmtId="164" fontId="12" fillId="3" borderId="0" xfId="0" applyNumberFormat="1" applyFont="1" applyFill="1" applyAlignment="1">
      <alignment horizontal="center" vertical="center"/>
    </xf>
    <xf numFmtId="0" fontId="13" fillId="3" borderId="0" xfId="0" applyFont="1" applyFill="1" applyAlignment="1">
      <alignment horizontal="center" vertical="center" wrapText="1"/>
    </xf>
    <xf numFmtId="0" fontId="14" fillId="3" borderId="0" xfId="0" applyFont="1" applyFill="1" applyAlignment="1">
      <alignment horizontal="left" vertical="center" wrapText="1"/>
    </xf>
    <xf numFmtId="0" fontId="15" fillId="4" borderId="0" xfId="0" applyFont="1" applyFill="1" applyAlignment="1">
      <alignment horizontal="center" vertical="center"/>
    </xf>
    <xf numFmtId="0" fontId="11" fillId="5" borderId="0" xfId="0" applyFont="1" applyFill="1" applyAlignment="1">
      <alignment horizontal="left" vertical="center" wrapText="1"/>
    </xf>
    <xf numFmtId="0" fontId="12" fillId="5" borderId="0" xfId="0" applyFont="1" applyFill="1" applyAlignment="1">
      <alignment horizontal="center" vertical="center"/>
    </xf>
    <xf numFmtId="0" fontId="13" fillId="5" borderId="0" xfId="0" applyFont="1" applyFill="1" applyAlignment="1">
      <alignment horizontal="center" vertical="center" wrapText="1"/>
    </xf>
    <xf numFmtId="0" fontId="14" fillId="5" borderId="0" xfId="0" applyFont="1" applyFill="1" applyAlignment="1">
      <alignment horizontal="left" vertical="center" wrapText="1"/>
    </xf>
    <xf numFmtId="0" fontId="12" fillId="3" borderId="0" xfId="0" applyFont="1" applyFill="1" applyAlignment="1">
      <alignment horizontal="center" vertical="center"/>
    </xf>
    <xf numFmtId="165" fontId="12" fillId="5" borderId="0" xfId="0" applyNumberFormat="1" applyFont="1" applyFill="1" applyAlignment="1">
      <alignment horizontal="center" vertical="center"/>
    </xf>
    <xf numFmtId="165" fontId="12" fillId="3" borderId="0" xfId="0" applyNumberFormat="1" applyFont="1" applyFill="1" applyAlignment="1">
      <alignment horizontal="center" vertical="center"/>
    </xf>
    <xf numFmtId="0" fontId="16" fillId="6" borderId="0" xfId="0" applyFont="1" applyFill="1" applyAlignment="1">
      <alignment horizontal="center" vertical="center"/>
    </xf>
    <xf numFmtId="0" fontId="17" fillId="7" borderId="0" xfId="0" applyFont="1" applyFill="1" applyAlignment="1">
      <alignment horizontal="center" vertical="center"/>
    </xf>
    <xf numFmtId="166" fontId="12" fillId="3" borderId="0" xfId="0" applyNumberFormat="1" applyFont="1" applyFill="1" applyAlignment="1">
      <alignment horizontal="center" vertical="center"/>
    </xf>
    <xf numFmtId="167" fontId="12" fillId="3" borderId="0" xfId="0" applyNumberFormat="1" applyFont="1" applyFill="1" applyAlignment="1">
      <alignment horizontal="center" vertical="center"/>
    </xf>
    <xf numFmtId="167" fontId="12" fillId="5" borderId="0" xfId="0" applyNumberFormat="1" applyFont="1" applyFill="1" applyAlignment="1">
      <alignment horizontal="center" vertical="center"/>
    </xf>
    <xf numFmtId="0" fontId="20" fillId="3" borderId="0" xfId="0" applyFont="1" applyFill="1" applyAlignment="1">
      <alignment horizontal="left" vertical="center" wrapText="1"/>
    </xf>
    <xf numFmtId="168" fontId="20" fillId="3" borderId="0" xfId="0" applyNumberFormat="1" applyFont="1" applyFill="1" applyAlignment="1">
      <alignment horizontal="right" vertical="center"/>
    </xf>
    <xf numFmtId="0" fontId="7" fillId="5" borderId="0" xfId="0" applyFont="1" applyFill="1" applyAlignment="1">
      <alignment horizontal="left" vertical="center" wrapText="1"/>
    </xf>
    <xf numFmtId="165" fontId="12" fillId="5" borderId="0" xfId="0" applyNumberFormat="1" applyFont="1" applyFill="1" applyAlignment="1">
      <alignment horizontal="right" vertical="center"/>
    </xf>
    <xf numFmtId="165" fontId="7" fillId="5" borderId="0" xfId="0" applyNumberFormat="1" applyFont="1" applyFill="1" applyAlignment="1">
      <alignment horizontal="right" vertical="center"/>
    </xf>
    <xf numFmtId="0" fontId="21" fillId="5" borderId="0" xfId="0" applyFont="1" applyFill="1" applyAlignment="1">
      <alignment horizontal="left" vertical="center" wrapText="1"/>
    </xf>
    <xf numFmtId="165" fontId="21" fillId="5" borderId="0" xfId="0" applyNumberFormat="1" applyFont="1" applyFill="1" applyAlignment="1">
      <alignment horizontal="right" vertical="center"/>
    </xf>
    <xf numFmtId="0" fontId="7" fillId="3" borderId="0" xfId="0" applyFont="1" applyFill="1" applyAlignment="1">
      <alignment horizontal="left" vertical="center" wrapText="1"/>
    </xf>
    <xf numFmtId="168" fontId="12" fillId="3" borderId="0" xfId="0" applyNumberFormat="1" applyFont="1" applyFill="1" applyAlignment="1">
      <alignment horizontal="right" vertical="center"/>
    </xf>
    <xf numFmtId="0" fontId="22" fillId="5" borderId="0" xfId="0" applyFont="1" applyFill="1" applyAlignment="1">
      <alignment horizontal="left" vertical="center" wrapText="1"/>
    </xf>
    <xf numFmtId="165" fontId="22" fillId="5" borderId="0" xfId="0" applyNumberFormat="1" applyFont="1" applyFill="1" applyAlignment="1">
      <alignment horizontal="right" vertical="center"/>
    </xf>
    <xf numFmtId="168" fontId="7" fillId="3" borderId="0" xfId="0" applyNumberFormat="1" applyFont="1" applyFill="1" applyAlignment="1">
      <alignment horizontal="right" vertical="center"/>
    </xf>
    <xf numFmtId="0" fontId="20" fillId="5" borderId="0" xfId="0" applyFont="1" applyFill="1" applyAlignment="1">
      <alignment horizontal="left" vertical="center" wrapText="1"/>
    </xf>
    <xf numFmtId="168" fontId="20" fillId="5" borderId="0" xfId="0" applyNumberFormat="1" applyFont="1" applyFill="1" applyAlignment="1">
      <alignment horizontal="right" vertical="center"/>
    </xf>
    <xf numFmtId="168" fontId="12" fillId="5" borderId="0" xfId="0" applyNumberFormat="1" applyFont="1" applyFill="1" applyAlignment="1">
      <alignment horizontal="right" vertical="center"/>
    </xf>
    <xf numFmtId="164" fontId="12" fillId="3" borderId="0" xfId="0" applyNumberFormat="1" applyFont="1" applyFill="1" applyAlignment="1">
      <alignment horizontal="right" vertical="center"/>
    </xf>
    <xf numFmtId="165" fontId="7" fillId="3" borderId="0" xfId="0" applyNumberFormat="1" applyFont="1" applyFill="1" applyAlignment="1">
      <alignment horizontal="right" vertical="center"/>
    </xf>
    <xf numFmtId="164" fontId="12" fillId="5" borderId="0" xfId="0" applyNumberFormat="1" applyFont="1" applyFill="1" applyAlignment="1">
      <alignment horizontal="right" vertical="center"/>
    </xf>
    <xf numFmtId="166" fontId="12" fillId="5" borderId="0" xfId="0" applyNumberFormat="1" applyFont="1" applyFill="1" applyAlignment="1">
      <alignment horizontal="right" vertical="center"/>
    </xf>
    <xf numFmtId="167" fontId="7" fillId="5" borderId="0" xfId="0" applyNumberFormat="1" applyFont="1" applyFill="1" applyAlignment="1">
      <alignment horizontal="right" vertical="center"/>
    </xf>
    <xf numFmtId="0" fontId="22" fillId="3" borderId="0" xfId="0" applyFont="1" applyFill="1" applyAlignment="1">
      <alignment horizontal="left" vertical="center" wrapText="1"/>
    </xf>
    <xf numFmtId="169" fontId="12" fillId="3" borderId="0" xfId="0" applyNumberFormat="1" applyFont="1" applyFill="1" applyAlignment="1">
      <alignment horizontal="right" vertical="center"/>
    </xf>
    <xf numFmtId="168" fontId="12" fillId="6" borderId="0" xfId="0" applyNumberFormat="1" applyFont="1" applyFill="1" applyAlignment="1">
      <alignment horizontal="right" vertical="center"/>
    </xf>
    <xf numFmtId="165" fontId="20" fillId="3" borderId="0" xfId="0" applyNumberFormat="1" applyFont="1" applyFill="1" applyAlignment="1">
      <alignment horizontal="right" vertical="center"/>
    </xf>
    <xf numFmtId="167" fontId="12" fillId="5" borderId="0" xfId="0" applyNumberFormat="1" applyFont="1" applyFill="1" applyAlignment="1">
      <alignment horizontal="right" vertical="center"/>
    </xf>
    <xf numFmtId="167" fontId="20" fillId="3" borderId="0" xfId="0" applyNumberFormat="1" applyFont="1" applyFill="1" applyAlignment="1">
      <alignment horizontal="right" vertical="center"/>
    </xf>
    <xf numFmtId="0" fontId="23" fillId="5" borderId="0" xfId="0" applyFont="1" applyFill="1" applyAlignment="1">
      <alignment horizontal="left" vertical="center" wrapText="1"/>
    </xf>
    <xf numFmtId="0" fontId="10" fillId="2" borderId="0" xfId="0" applyFont="1" applyFill="1" applyAlignment="1">
      <alignment horizontal="center" vertical="center" wrapText="1"/>
    </xf>
    <xf numFmtId="0" fontId="10" fillId="2" borderId="0" xfId="0" applyFont="1" applyFill="1" applyAlignment="1">
      <alignment horizontal="left" vertical="center" wrapText="1"/>
    </xf>
    <xf numFmtId="168" fontId="10" fillId="2" borderId="0" xfId="0" applyNumberFormat="1" applyFont="1" applyFill="1" applyAlignment="1">
      <alignment horizontal="right" vertical="center"/>
    </xf>
    <xf numFmtId="165" fontId="5" fillId="2" borderId="0" xfId="0" applyNumberFormat="1" applyFont="1" applyFill="1" applyAlignment="1">
      <alignment horizontal="center" vertical="center"/>
    </xf>
    <xf numFmtId="0" fontId="24" fillId="2" borderId="0" xfId="0" applyFont="1" applyFill="1" applyAlignment="1">
      <alignment horizontal="left" vertical="center" wrapText="1"/>
    </xf>
    <xf numFmtId="0" fontId="25" fillId="4" borderId="0" xfId="0" applyFont="1" applyFill="1" applyAlignment="1">
      <alignment horizontal="left" vertical="center" wrapText="1"/>
    </xf>
    <xf numFmtId="168" fontId="25" fillId="4" borderId="0" xfId="0" applyNumberFormat="1" applyFont="1" applyFill="1" applyAlignment="1">
      <alignment horizontal="right" vertical="center"/>
    </xf>
    <xf numFmtId="165" fontId="25" fillId="4" borderId="0" xfId="0" applyNumberFormat="1" applyFont="1" applyFill="1" applyAlignment="1">
      <alignment horizontal="center" vertical="center"/>
    </xf>
    <xf numFmtId="0" fontId="26" fillId="4" borderId="0" xfId="0" applyFont="1" applyFill="1" applyAlignment="1">
      <alignment horizontal="left" vertical="center" wrapText="1"/>
    </xf>
    <xf numFmtId="0" fontId="23" fillId="7" borderId="0" xfId="0" applyFont="1" applyFill="1" applyAlignment="1">
      <alignment horizontal="left" vertical="center" wrapText="1"/>
    </xf>
    <xf numFmtId="168" fontId="23" fillId="7" borderId="0" xfId="0" applyNumberFormat="1" applyFont="1" applyFill="1" applyAlignment="1">
      <alignment horizontal="right" vertical="center"/>
    </xf>
    <xf numFmtId="165" fontId="23" fillId="7" borderId="0" xfId="0" applyNumberFormat="1" applyFont="1" applyFill="1" applyAlignment="1">
      <alignment horizontal="center" vertical="center"/>
    </xf>
    <xf numFmtId="0" fontId="27" fillId="7" borderId="0" xfId="0" applyFont="1" applyFill="1" applyAlignment="1">
      <alignment horizontal="left" vertical="center" wrapText="1"/>
    </xf>
    <xf numFmtId="0" fontId="22" fillId="6" borderId="0" xfId="0" applyFont="1" applyFill="1" applyAlignment="1">
      <alignment horizontal="left" vertical="center" wrapText="1"/>
    </xf>
    <xf numFmtId="168" fontId="22" fillId="6" borderId="0" xfId="0" applyNumberFormat="1" applyFont="1" applyFill="1" applyAlignment="1">
      <alignment horizontal="right" vertical="center"/>
    </xf>
    <xf numFmtId="165" fontId="22" fillId="6" borderId="0" xfId="0" applyNumberFormat="1" applyFont="1" applyFill="1" applyAlignment="1">
      <alignment horizontal="center" vertical="center"/>
    </xf>
    <xf numFmtId="0" fontId="28" fillId="2" borderId="0" xfId="0" applyFont="1" applyFill="1" applyAlignment="1">
      <alignment horizontal="center" vertical="center"/>
    </xf>
    <xf numFmtId="0" fontId="28" fillId="8" borderId="0" xfId="0" applyFont="1" applyFill="1" applyAlignment="1">
      <alignment horizontal="center" vertical="center" wrapText="1"/>
    </xf>
    <xf numFmtId="0" fontId="28" fillId="2" borderId="0" xfId="0" applyFont="1" applyFill="1" applyAlignment="1">
      <alignment horizontal="center" vertical="center" wrapText="1"/>
    </xf>
    <xf numFmtId="0" fontId="28" fillId="9" borderId="0" xfId="0" applyFont="1" applyFill="1" applyAlignment="1">
      <alignment horizontal="center" vertical="center" wrapText="1"/>
    </xf>
    <xf numFmtId="1" fontId="12" fillId="3" borderId="0" xfId="0" applyNumberFormat="1" applyFont="1" applyFill="1" applyAlignment="1">
      <alignment horizontal="center" vertical="center"/>
    </xf>
    <xf numFmtId="1" fontId="12" fillId="5" borderId="0" xfId="0" applyNumberFormat="1" applyFont="1" applyFill="1" applyAlignment="1">
      <alignment horizontal="center" vertical="center"/>
    </xf>
    <xf numFmtId="170" fontId="12" fillId="3" borderId="0" xfId="0" applyNumberFormat="1" applyFont="1" applyFill="1" applyAlignment="1">
      <alignment horizontal="center" vertical="center"/>
    </xf>
    <xf numFmtId="171" fontId="12" fillId="5" borderId="0" xfId="0" applyNumberFormat="1" applyFont="1" applyFill="1" applyAlignment="1">
      <alignment horizontal="center" vertical="center"/>
    </xf>
    <xf numFmtId="170" fontId="7" fillId="3" borderId="0" xfId="0" applyNumberFormat="1" applyFont="1" applyFill="1" applyAlignment="1">
      <alignment horizontal="center" vertical="center"/>
    </xf>
    <xf numFmtId="171" fontId="12" fillId="3" borderId="0" xfId="0" applyNumberFormat="1" applyFont="1" applyFill="1" applyAlignment="1">
      <alignment horizontal="center" vertical="center"/>
    </xf>
    <xf numFmtId="172" fontId="12" fillId="5" borderId="0" xfId="0" applyNumberFormat="1" applyFont="1" applyFill="1" applyAlignment="1">
      <alignment horizontal="center" vertical="center"/>
    </xf>
    <xf numFmtId="0" fontId="29" fillId="3" borderId="0" xfId="0" applyFont="1" applyFill="1" applyAlignment="1">
      <alignment horizontal="left" vertical="center" wrapText="1"/>
    </xf>
    <xf numFmtId="170" fontId="30" fillId="3" borderId="0" xfId="0" applyNumberFormat="1" applyFont="1" applyFill="1" applyAlignment="1">
      <alignment horizontal="center" vertical="center"/>
    </xf>
    <xf numFmtId="170" fontId="21" fillId="3" borderId="0" xfId="0" applyNumberFormat="1" applyFont="1" applyFill="1" applyAlignment="1">
      <alignment horizontal="center" vertical="center"/>
    </xf>
    <xf numFmtId="170" fontId="31" fillId="3" borderId="0" xfId="0" applyNumberFormat="1" applyFont="1" applyFill="1" applyAlignment="1">
      <alignment horizontal="center" vertical="center"/>
    </xf>
    <xf numFmtId="170" fontId="12" fillId="5" borderId="0" xfId="0" applyNumberFormat="1" applyFont="1" applyFill="1" applyAlignment="1">
      <alignment horizontal="center" vertical="center"/>
    </xf>
    <xf numFmtId="164" fontId="30" fillId="3" borderId="0" xfId="0" applyNumberFormat="1" applyFont="1" applyFill="1" applyAlignment="1">
      <alignment horizontal="center" vertical="center"/>
    </xf>
    <xf numFmtId="164" fontId="21" fillId="3" borderId="0" xfId="0" applyNumberFormat="1" applyFont="1" applyFill="1" applyAlignment="1">
      <alignment horizontal="center" vertical="center"/>
    </xf>
    <xf numFmtId="164" fontId="31" fillId="3" borderId="0" xfId="0" applyNumberFormat="1" applyFont="1" applyFill="1" applyAlignment="1">
      <alignment horizontal="center" vertical="center"/>
    </xf>
    <xf numFmtId="164" fontId="12" fillId="5" borderId="0" xfId="0" applyNumberFormat="1" applyFont="1" applyFill="1" applyAlignment="1">
      <alignment horizontal="center" vertical="center"/>
    </xf>
    <xf numFmtId="171" fontId="30" fillId="3" borderId="0" xfId="0" applyNumberFormat="1" applyFont="1" applyFill="1" applyAlignment="1">
      <alignment horizontal="center" vertical="center"/>
    </xf>
    <xf numFmtId="171" fontId="21" fillId="3" borderId="0" xfId="0" applyNumberFormat="1" applyFont="1" applyFill="1" applyAlignment="1">
      <alignment horizontal="center" vertical="center"/>
    </xf>
    <xf numFmtId="171" fontId="31" fillId="3" borderId="0" xfId="0" applyNumberFormat="1" applyFont="1" applyFill="1" applyAlignment="1">
      <alignment horizontal="center" vertical="center"/>
    </xf>
    <xf numFmtId="0" fontId="28" fillId="2" borderId="0" xfId="0" applyFont="1" applyFill="1" applyAlignment="1">
      <alignment horizontal="left" vertical="center"/>
    </xf>
    <xf numFmtId="168" fontId="7" fillId="5" borderId="0" xfId="0" applyNumberFormat="1" applyFont="1" applyFill="1" applyAlignment="1">
      <alignment horizontal="right" vertical="center"/>
    </xf>
    <xf numFmtId="165" fontId="12" fillId="3" borderId="0" xfId="0" applyNumberFormat="1" applyFont="1" applyFill="1" applyAlignment="1">
      <alignment horizontal="right" vertical="center"/>
    </xf>
    <xf numFmtId="173" fontId="12" fillId="3" borderId="0" xfId="0" applyNumberFormat="1" applyFont="1" applyFill="1" applyAlignment="1">
      <alignment horizontal="right" vertical="center"/>
    </xf>
    <xf numFmtId="173" fontId="7" fillId="3" borderId="0" xfId="0" applyNumberFormat="1" applyFont="1" applyFill="1" applyAlignment="1">
      <alignment horizontal="right" vertical="center"/>
    </xf>
    <xf numFmtId="167" fontId="12" fillId="3" borderId="0" xfId="0" applyNumberFormat="1" applyFont="1" applyFill="1" applyAlignment="1">
      <alignment horizontal="right" vertical="center"/>
    </xf>
    <xf numFmtId="0" fontId="21" fillId="3" borderId="0" xfId="0" applyFont="1" applyFill="1" applyAlignment="1">
      <alignment horizontal="left" vertical="center" wrapText="1"/>
    </xf>
    <xf numFmtId="168" fontId="21" fillId="3" borderId="0" xfId="0" applyNumberFormat="1" applyFont="1" applyFill="1" applyAlignment="1">
      <alignment horizontal="right" vertical="center"/>
    </xf>
    <xf numFmtId="168" fontId="21" fillId="5" borderId="0" xfId="0" applyNumberFormat="1" applyFont="1" applyFill="1" applyAlignment="1">
      <alignment horizontal="right" vertical="center"/>
    </xf>
    <xf numFmtId="164" fontId="21" fillId="3" borderId="0" xfId="0" applyNumberFormat="1" applyFont="1" applyFill="1" applyAlignment="1">
      <alignment horizontal="right" vertical="center"/>
    </xf>
    <xf numFmtId="164" fontId="21" fillId="5" borderId="0" xfId="0" applyNumberFormat="1" applyFont="1" applyFill="1" applyAlignment="1">
      <alignment horizontal="right" vertical="center"/>
    </xf>
    <xf numFmtId="0" fontId="11" fillId="3" borderId="0" xfId="0" applyFont="1" applyFill="1" applyAlignment="1">
      <alignment horizontal="left" vertical="center"/>
    </xf>
    <xf numFmtId="165" fontId="33" fillId="3" borderId="0" xfId="0" applyNumberFormat="1" applyFont="1" applyFill="1" applyAlignment="1">
      <alignment horizontal="center" vertical="center"/>
    </xf>
    <xf numFmtId="165" fontId="34" fillId="3" borderId="0" xfId="0" applyNumberFormat="1" applyFont="1" applyFill="1" applyAlignment="1">
      <alignment horizontal="center" vertical="center"/>
    </xf>
    <xf numFmtId="165" fontId="35" fillId="3" borderId="0" xfId="0" applyNumberFormat="1" applyFont="1" applyFill="1" applyAlignment="1">
      <alignment horizontal="center" vertical="center"/>
    </xf>
    <xf numFmtId="0" fontId="11" fillId="5" borderId="0" xfId="0" applyFont="1" applyFill="1" applyAlignment="1">
      <alignment horizontal="left" vertical="center"/>
    </xf>
    <xf numFmtId="165" fontId="33" fillId="5" borderId="0" xfId="0" applyNumberFormat="1" applyFont="1" applyFill="1" applyAlignment="1">
      <alignment horizontal="center" vertical="center"/>
    </xf>
    <xf numFmtId="165" fontId="34" fillId="5" borderId="0" xfId="0" applyNumberFormat="1" applyFont="1" applyFill="1" applyAlignment="1">
      <alignment horizontal="center" vertical="center"/>
    </xf>
    <xf numFmtId="165" fontId="35" fillId="5" borderId="0" xfId="0" applyNumberFormat="1" applyFont="1" applyFill="1" applyAlignment="1">
      <alignment horizontal="center" vertical="center"/>
    </xf>
    <xf numFmtId="0" fontId="33" fillId="5" borderId="0" xfId="0" applyFont="1" applyFill="1" applyAlignment="1">
      <alignment horizontal="center" vertical="center"/>
    </xf>
    <xf numFmtId="0" fontId="33" fillId="3" borderId="0" xfId="0" applyFont="1" applyFill="1" applyAlignment="1">
      <alignment horizontal="center" vertical="center"/>
    </xf>
    <xf numFmtId="0" fontId="34" fillId="3" borderId="0" xfId="0" applyFont="1" applyFill="1" applyAlignment="1">
      <alignment horizontal="center" vertical="center"/>
    </xf>
    <xf numFmtId="0" fontId="35" fillId="3" borderId="0" xfId="0" applyFont="1" applyFill="1" applyAlignment="1">
      <alignment horizontal="center" vertical="center"/>
    </xf>
    <xf numFmtId="0" fontId="34" fillId="5" borderId="0" xfId="0" applyFont="1" applyFill="1" applyAlignment="1">
      <alignment horizontal="center" vertical="center"/>
    </xf>
    <xf numFmtId="0" fontId="35" fillId="5" borderId="0" xfId="0" applyFont="1" applyFill="1" applyAlignment="1">
      <alignment horizontal="center" vertical="center"/>
    </xf>
    <xf numFmtId="0" fontId="29" fillId="0" borderId="0" xfId="0" applyFont="1"/>
    <xf numFmtId="165" fontId="36" fillId="2" borderId="0" xfId="0" applyNumberFormat="1" applyFont="1" applyFill="1" applyAlignment="1">
      <alignment horizontal="center" vertical="center"/>
    </xf>
    <xf numFmtId="0" fontId="37" fillId="0" borderId="0" xfId="0" applyFont="1"/>
    <xf numFmtId="165" fontId="10" fillId="2" borderId="0" xfId="0" applyNumberFormat="1" applyFont="1" applyFill="1" applyAlignment="1">
      <alignment horizontal="center" vertical="center"/>
    </xf>
    <xf numFmtId="170" fontId="11" fillId="3" borderId="0" xfId="0" applyNumberFormat="1" applyFont="1" applyFill="1" applyAlignment="1">
      <alignment horizontal="center" vertical="center"/>
    </xf>
    <xf numFmtId="170" fontId="11" fillId="5" borderId="0" xfId="0" applyNumberFormat="1" applyFont="1" applyFill="1" applyAlignment="1">
      <alignment horizontal="center" vertical="center"/>
    </xf>
    <xf numFmtId="170" fontId="29" fillId="10" borderId="0" xfId="0" applyNumberFormat="1" applyFont="1" applyFill="1" applyAlignment="1">
      <alignment horizontal="center" vertical="center"/>
    </xf>
    <xf numFmtId="0" fontId="11" fillId="3" borderId="0" xfId="0" applyFont="1" applyFill="1" applyAlignment="1">
      <alignment horizontal="right" vertical="center"/>
    </xf>
    <xf numFmtId="167" fontId="11" fillId="3" borderId="0" xfId="0" applyNumberFormat="1" applyFont="1" applyFill="1" applyAlignment="1">
      <alignment horizontal="right" vertical="center"/>
    </xf>
    <xf numFmtId="0" fontId="11" fillId="5" borderId="0" xfId="0" applyFont="1" applyFill="1" applyAlignment="1">
      <alignment horizontal="right" vertical="center"/>
    </xf>
    <xf numFmtId="167" fontId="11" fillId="5" borderId="0" xfId="0" applyNumberFormat="1" applyFont="1" applyFill="1" applyAlignment="1">
      <alignment horizontal="right" vertical="center"/>
    </xf>
    <xf numFmtId="0" fontId="21" fillId="3" borderId="0" xfId="0" applyFont="1" applyFill="1" applyAlignment="1">
      <alignment horizontal="left" vertical="center"/>
    </xf>
    <xf numFmtId="167" fontId="34" fillId="3" borderId="0" xfId="0" applyNumberFormat="1" applyFont="1" applyFill="1" applyAlignment="1">
      <alignment horizontal="center" vertical="center"/>
    </xf>
    <xf numFmtId="0" fontId="21" fillId="11" borderId="0" xfId="0" applyFont="1" applyFill="1" applyAlignment="1">
      <alignment horizontal="left" vertical="center"/>
    </xf>
    <xf numFmtId="0" fontId="21" fillId="11" borderId="0" xfId="0" applyFont="1" applyFill="1" applyAlignment="1">
      <alignment horizontal="center" vertical="center"/>
    </xf>
    <xf numFmtId="167" fontId="21" fillId="11" borderId="0" xfId="0" applyNumberFormat="1" applyFont="1" applyFill="1" applyAlignment="1">
      <alignment horizontal="center" vertical="center"/>
    </xf>
    <xf numFmtId="165" fontId="21" fillId="11" borderId="0" xfId="0" applyNumberFormat="1" applyFont="1" applyFill="1" applyAlignment="1">
      <alignment horizontal="center" vertical="center"/>
    </xf>
    <xf numFmtId="0" fontId="7" fillId="3" borderId="0" xfId="0" applyFont="1" applyFill="1" applyAlignment="1">
      <alignment horizontal="left" vertical="center"/>
    </xf>
    <xf numFmtId="164" fontId="7" fillId="3" borderId="0" xfId="0" applyNumberFormat="1" applyFont="1" applyFill="1" applyAlignment="1">
      <alignment horizontal="right" vertical="center"/>
    </xf>
    <xf numFmtId="0" fontId="7" fillId="3" borderId="0" xfId="0" applyFont="1" applyFill="1" applyAlignment="1">
      <alignment horizontal="right" vertical="center"/>
    </xf>
    <xf numFmtId="167" fontId="7" fillId="3" borderId="0" xfId="0" applyNumberFormat="1" applyFont="1" applyFill="1" applyAlignment="1">
      <alignment horizontal="right" vertical="center"/>
    </xf>
    <xf numFmtId="0" fontId="7" fillId="5" borderId="0" xfId="0" applyFont="1" applyFill="1" applyAlignment="1">
      <alignment horizontal="left" vertical="center"/>
    </xf>
    <xf numFmtId="164" fontId="7" fillId="5" borderId="0" xfId="0" applyNumberFormat="1" applyFont="1" applyFill="1" applyAlignment="1">
      <alignment horizontal="right" vertical="center"/>
    </xf>
    <xf numFmtId="0" fontId="7" fillId="5" borderId="0" xfId="0" applyFont="1" applyFill="1" applyAlignment="1">
      <alignment horizontal="right" vertical="center"/>
    </xf>
    <xf numFmtId="0" fontId="21" fillId="10" borderId="0" xfId="0" applyFont="1" applyFill="1" applyAlignment="1">
      <alignment horizontal="left" vertical="center"/>
    </xf>
    <xf numFmtId="164" fontId="21" fillId="10" borderId="0" xfId="0" applyNumberFormat="1" applyFont="1" applyFill="1" applyAlignment="1">
      <alignment horizontal="right" vertical="center"/>
    </xf>
    <xf numFmtId="0" fontId="21" fillId="10" borderId="0" xfId="0" applyFont="1" applyFill="1" applyAlignment="1">
      <alignment horizontal="right" vertical="center"/>
    </xf>
    <xf numFmtId="167" fontId="21" fillId="10" borderId="0" xfId="0" applyNumberFormat="1" applyFont="1" applyFill="1" applyAlignment="1">
      <alignment horizontal="right" vertical="center"/>
    </xf>
    <xf numFmtId="174" fontId="7" fillId="5" borderId="0" xfId="0" applyNumberFormat="1" applyFont="1" applyFill="1" applyAlignment="1">
      <alignment horizontal="right" vertical="center"/>
    </xf>
    <xf numFmtId="0" fontId="12" fillId="3" borderId="0" xfId="0" applyFont="1" applyFill="1" applyAlignment="1">
      <alignment horizontal="left" vertical="center" wrapText="1"/>
    </xf>
    <xf numFmtId="0" fontId="12" fillId="5" borderId="0" xfId="0" applyFont="1" applyFill="1" applyAlignment="1">
      <alignment horizontal="left" vertical="center" wrapText="1"/>
    </xf>
    <xf numFmtId="167" fontId="21" fillId="3" borderId="0" xfId="0" applyNumberFormat="1" applyFont="1" applyFill="1" applyAlignment="1">
      <alignment horizontal="right" vertical="center"/>
    </xf>
    <xf numFmtId="0" fontId="38" fillId="3" borderId="0" xfId="0" applyFont="1" applyFill="1" applyAlignment="1">
      <alignment horizontal="left" vertical="center" wrapText="1"/>
    </xf>
    <xf numFmtId="168" fontId="38" fillId="3" borderId="0" xfId="0" applyNumberFormat="1" applyFont="1" applyFill="1" applyAlignment="1">
      <alignment horizontal="right" vertical="center"/>
    </xf>
    <xf numFmtId="0" fontId="7" fillId="7" borderId="0" xfId="0" applyFont="1" applyFill="1" applyAlignment="1">
      <alignment horizontal="left" vertical="center" wrapText="1"/>
    </xf>
    <xf numFmtId="168" fontId="12" fillId="7" borderId="0" xfId="0" applyNumberFormat="1" applyFont="1" applyFill="1" applyAlignment="1">
      <alignment horizontal="right" vertical="center"/>
    </xf>
    <xf numFmtId="168" fontId="7" fillId="7" borderId="0" xfId="0" applyNumberFormat="1" applyFont="1" applyFill="1" applyAlignment="1">
      <alignment horizontal="right" vertical="center"/>
    </xf>
    <xf numFmtId="0" fontId="20" fillId="7" borderId="0" xfId="0" applyFont="1" applyFill="1" applyAlignment="1">
      <alignment horizontal="left" vertical="center" wrapText="1"/>
    </xf>
    <xf numFmtId="167" fontId="20" fillId="7" borderId="0" xfId="0" applyNumberFormat="1" applyFont="1" applyFill="1" applyAlignment="1">
      <alignment horizontal="right" vertical="center"/>
    </xf>
    <xf numFmtId="0" fontId="7" fillId="4" borderId="0" xfId="0" applyFont="1" applyFill="1" applyAlignment="1">
      <alignment horizontal="left" vertical="center" wrapText="1"/>
    </xf>
    <xf numFmtId="168" fontId="12" fillId="4" borderId="0" xfId="0" applyNumberFormat="1" applyFont="1" applyFill="1" applyAlignment="1">
      <alignment horizontal="right" vertical="center"/>
    </xf>
    <xf numFmtId="168" fontId="7" fillId="4" borderId="0" xfId="0" applyNumberFormat="1" applyFont="1" applyFill="1" applyAlignment="1">
      <alignment horizontal="right" vertical="center"/>
    </xf>
    <xf numFmtId="0" fontId="20" fillId="4" borderId="0" xfId="0" applyFont="1" applyFill="1" applyAlignment="1">
      <alignment horizontal="left" vertical="center" wrapText="1"/>
    </xf>
    <xf numFmtId="167" fontId="20" fillId="4" borderId="0" xfId="0" applyNumberFormat="1" applyFont="1" applyFill="1" applyAlignment="1">
      <alignment horizontal="right" vertical="center"/>
    </xf>
    <xf numFmtId="165" fontId="20" fillId="4" borderId="0" xfId="0" applyNumberFormat="1" applyFont="1" applyFill="1" applyAlignment="1">
      <alignment horizontal="right" vertical="center"/>
    </xf>
    <xf numFmtId="167" fontId="36" fillId="2" borderId="0" xfId="0" applyNumberFormat="1" applyFont="1" applyFill="1" applyAlignment="1">
      <alignment horizontal="center" vertical="center"/>
    </xf>
    <xf numFmtId="165" fontId="7" fillId="4" borderId="0" xfId="0" applyNumberFormat="1" applyFont="1" applyFill="1" applyAlignment="1">
      <alignment horizontal="center" vertical="center"/>
    </xf>
    <xf numFmtId="165" fontId="7" fillId="6" borderId="0" xfId="0" applyNumberFormat="1" applyFont="1" applyFill="1" applyAlignment="1">
      <alignment horizontal="center" vertical="center"/>
    </xf>
    <xf numFmtId="0" fontId="23" fillId="3" borderId="0" xfId="0" applyFont="1" applyFill="1" applyAlignment="1">
      <alignment horizontal="center" vertical="center"/>
    </xf>
    <xf numFmtId="0" fontId="23" fillId="6" borderId="0" xfId="0" applyFont="1" applyFill="1" applyAlignment="1">
      <alignment horizontal="center" vertical="center"/>
    </xf>
    <xf numFmtId="167" fontId="10" fillId="2" borderId="0" xfId="0" applyNumberFormat="1" applyFont="1" applyFill="1" applyAlignment="1">
      <alignment horizontal="center" vertical="center"/>
    </xf>
    <xf numFmtId="165" fontId="7" fillId="3" borderId="0" xfId="0" applyNumberFormat="1" applyFont="1" applyFill="1" applyAlignment="1">
      <alignment horizontal="center" vertical="center"/>
    </xf>
    <xf numFmtId="165" fontId="20" fillId="10" borderId="0" xfId="0" applyNumberFormat="1" applyFont="1" applyFill="1" applyAlignment="1">
      <alignment horizontal="center" vertical="center"/>
    </xf>
    <xf numFmtId="165" fontId="12" fillId="7" borderId="0" xfId="0" applyNumberFormat="1" applyFont="1" applyFill="1" applyAlignment="1">
      <alignment horizontal="right" vertical="center"/>
    </xf>
    <xf numFmtId="0" fontId="40" fillId="7" borderId="0" xfId="0" applyFont="1" applyFill="1" applyAlignment="1">
      <alignment horizontal="left" vertical="center" wrapText="1"/>
    </xf>
    <xf numFmtId="168" fontId="40" fillId="7" borderId="0" xfId="0" applyNumberFormat="1" applyFont="1" applyFill="1" applyAlignment="1">
      <alignment horizontal="right" vertical="center"/>
    </xf>
    <xf numFmtId="167" fontId="40" fillId="7" borderId="0" xfId="0" applyNumberFormat="1" applyFont="1" applyFill="1" applyAlignment="1">
      <alignment horizontal="right" vertical="center"/>
    </xf>
    <xf numFmtId="0" fontId="7" fillId="6" borderId="0" xfId="0" applyFont="1" applyFill="1" applyAlignment="1">
      <alignment horizontal="left" vertical="center" wrapText="1"/>
    </xf>
    <xf numFmtId="0" fontId="29" fillId="7" borderId="0" xfId="0" applyFont="1" applyFill="1" applyAlignment="1">
      <alignment horizontal="left" vertical="top" wrapText="1"/>
    </xf>
    <xf numFmtId="0" fontId="41" fillId="7" borderId="0" xfId="0" applyFont="1" applyFill="1" applyAlignment="1">
      <alignment horizontal="left" vertical="top" wrapText="1"/>
    </xf>
    <xf numFmtId="0" fontId="42" fillId="7" borderId="0" xfId="0" applyFont="1" applyFill="1" applyAlignment="1">
      <alignment horizontal="left" vertical="top" wrapText="1"/>
    </xf>
    <xf numFmtId="0" fontId="29" fillId="6" borderId="0" xfId="0" applyFont="1" applyFill="1" applyAlignment="1">
      <alignment horizontal="left" vertical="top" wrapText="1"/>
    </xf>
    <xf numFmtId="0" fontId="41" fillId="6" borderId="0" xfId="0" applyFont="1" applyFill="1" applyAlignment="1">
      <alignment horizontal="left" vertical="top" wrapText="1"/>
    </xf>
    <xf numFmtId="0" fontId="42" fillId="6" borderId="0" xfId="0" applyFont="1" applyFill="1" applyAlignment="1">
      <alignment horizontal="left" vertical="top" wrapText="1"/>
    </xf>
    <xf numFmtId="0" fontId="29" fillId="4" borderId="0" xfId="0" applyFont="1" applyFill="1" applyAlignment="1">
      <alignment horizontal="left" vertical="top" wrapText="1"/>
    </xf>
    <xf numFmtId="0" fontId="41" fillId="4" borderId="0" xfId="0" applyFont="1" applyFill="1" applyAlignment="1">
      <alignment horizontal="left" vertical="top" wrapText="1"/>
    </xf>
    <xf numFmtId="0" fontId="42" fillId="4" borderId="0" xfId="0" applyFont="1" applyFill="1" applyAlignment="1">
      <alignment horizontal="left" vertical="top" wrapText="1"/>
    </xf>
    <xf numFmtId="0" fontId="45" fillId="2" borderId="0" xfId="0" applyFont="1" applyFill="1" applyAlignment="1">
      <alignment horizontal="left" vertical="center" wrapText="1"/>
    </xf>
    <xf numFmtId="0" fontId="46" fillId="5" borderId="0" xfId="0" applyFont="1" applyFill="1" applyAlignment="1">
      <alignment horizontal="left" vertical="top" wrapText="1"/>
    </xf>
    <xf numFmtId="0" fontId="28" fillId="8" borderId="0" xfId="0" applyFont="1" applyFill="1" applyAlignment="1">
      <alignment horizontal="left" vertical="center" wrapText="1"/>
    </xf>
    <xf numFmtId="0" fontId="7" fillId="5" borderId="0" xfId="0" applyFont="1" applyFill="1" applyAlignment="1">
      <alignment horizontal="left" vertical="top" wrapText="1"/>
    </xf>
    <xf numFmtId="0" fontId="28" fillId="2" borderId="0" xfId="0" applyFont="1" applyFill="1" applyAlignment="1">
      <alignment horizontal="left" vertical="center" wrapText="1"/>
    </xf>
    <xf numFmtId="0" fontId="28" fillId="9" borderId="0" xfId="0" applyFont="1" applyFill="1" applyAlignment="1">
      <alignment horizontal="left" vertical="center" wrapText="1"/>
    </xf>
    <xf numFmtId="0" fontId="47" fillId="10" borderId="0" xfId="0" applyFont="1" applyFill="1" applyAlignment="1">
      <alignment horizontal="left" vertical="center" wrapText="1"/>
    </xf>
    <xf numFmtId="0" fontId="48" fillId="10" borderId="0" xfId="0" applyFont="1" applyFill="1" applyAlignment="1">
      <alignment horizontal="left" vertical="center" wrapText="1"/>
    </xf>
    <xf numFmtId="168" fontId="12" fillId="12" borderId="0" xfId="0" applyNumberFormat="1" applyFont="1" applyFill="1" applyAlignment="1">
      <alignment horizontal="right" vertical="center"/>
    </xf>
    <xf numFmtId="0" fontId="11" fillId="3" borderId="0" xfId="0" applyFont="1" applyFill="1" applyAlignment="1">
      <alignment horizontal="center" vertical="center" wrapText="1"/>
    </xf>
    <xf numFmtId="0" fontId="11" fillId="5" borderId="0" xfId="0" applyFont="1" applyFill="1" applyAlignment="1">
      <alignment horizontal="center" vertical="center" wrapText="1"/>
    </xf>
    <xf numFmtId="0" fontId="18" fillId="0" borderId="0" xfId="0" applyFont="1" applyAlignment="1">
      <alignment horizontal="left" vertical="center"/>
    </xf>
    <xf numFmtId="0" fontId="13" fillId="0" borderId="0" xfId="0" applyFont="1" applyAlignment="1">
      <alignment horizontal="left" vertical="top" wrapText="1"/>
    </xf>
    <xf numFmtId="0" fontId="10" fillId="2" borderId="0" xfId="0" applyFont="1" applyFill="1" applyAlignment="1">
      <alignment horizontal="left" vertical="center"/>
    </xf>
    <xf numFmtId="171" fontId="32" fillId="2" borderId="0" xfId="0" applyNumberFormat="1" applyFont="1" applyFill="1" applyAlignment="1">
      <alignment horizontal="center" vertical="center"/>
    </xf>
    <xf numFmtId="0" fontId="6" fillId="6" borderId="0" xfId="0" applyFont="1" applyFill="1" applyAlignment="1">
      <alignment horizontal="left" vertical="top" wrapText="1"/>
    </xf>
    <xf numFmtId="170" fontId="32" fillId="2" borderId="0" xfId="0" applyNumberFormat="1" applyFont="1" applyFill="1" applyAlignment="1">
      <alignment horizontal="center" vertical="center"/>
    </xf>
    <xf numFmtId="164" fontId="32" fillId="2" borderId="0" xfId="0" applyNumberFormat="1" applyFont="1" applyFill="1" applyAlignment="1">
      <alignment horizontal="center"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164" fontId="5" fillId="2" borderId="0" xfId="0" applyNumberFormat="1" applyFont="1" applyFill="1" applyAlignment="1">
      <alignment horizontal="left" vertical="center"/>
    </xf>
    <xf numFmtId="0" fontId="7" fillId="3" borderId="0" xfId="0" applyFont="1" applyFill="1" applyAlignment="1">
      <alignment horizontal="left" vertical="top" wrapText="1"/>
    </xf>
    <xf numFmtId="0" fontId="8" fillId="0" borderId="0" xfId="0" applyFont="1" applyAlignment="1">
      <alignment horizontal="left" vertical="top" wrapText="1"/>
    </xf>
    <xf numFmtId="0" fontId="6" fillId="0" borderId="0" xfId="0" applyFont="1" applyAlignment="1">
      <alignment horizontal="left" vertical="center"/>
    </xf>
    <xf numFmtId="0" fontId="9" fillId="0" borderId="0" xfId="0" applyFont="1" applyAlignment="1">
      <alignment horizontal="left" vertical="center"/>
    </xf>
    <xf numFmtId="0" fontId="19" fillId="6" borderId="0" xfId="0" applyFont="1" applyFill="1" applyAlignment="1">
      <alignment horizontal="left" vertical="center" wrapText="1"/>
    </xf>
    <xf numFmtId="0" fontId="14" fillId="0" borderId="0" xfId="0" applyFont="1" applyAlignment="1">
      <alignment horizontal="left" vertical="top" wrapText="1"/>
    </xf>
    <xf numFmtId="0" fontId="19" fillId="6" borderId="0" xfId="0" applyFont="1" applyFill="1" applyAlignment="1">
      <alignment horizontal="left" vertical="top" wrapText="1"/>
    </xf>
    <xf numFmtId="0" fontId="21" fillId="0" borderId="0" xfId="0" applyFont="1" applyAlignment="1">
      <alignment horizontal="left" vertical="center"/>
    </xf>
    <xf numFmtId="0" fontId="14" fillId="3" borderId="0" xfId="0" applyFont="1" applyFill="1" applyAlignment="1">
      <alignment horizontal="left" vertical="top" wrapText="1"/>
    </xf>
    <xf numFmtId="0" fontId="14" fillId="0" borderId="0" xfId="0" applyFont="1"/>
    <xf numFmtId="0" fontId="10" fillId="8" borderId="0" xfId="0" applyFont="1" applyFill="1" applyAlignment="1">
      <alignment horizontal="left" vertical="center"/>
    </xf>
    <xf numFmtId="0" fontId="10" fillId="9" borderId="0" xfId="0" applyFont="1" applyFill="1" applyAlignment="1">
      <alignment horizontal="left" vertical="center"/>
    </xf>
    <xf numFmtId="0" fontId="14" fillId="0" borderId="0" xfId="0" applyFont="1" applyAlignment="1">
      <alignment vertical="top" wrapText="1"/>
    </xf>
    <xf numFmtId="0" fontId="39" fillId="7" borderId="0" xfId="0" applyFont="1" applyFill="1" applyAlignment="1">
      <alignment horizontal="left" vertical="top" wrapText="1"/>
    </xf>
    <xf numFmtId="0" fontId="34" fillId="6" borderId="0" xfId="0" applyFont="1" applyFill="1" applyAlignment="1">
      <alignment horizontal="left" vertical="top" wrapText="1"/>
    </xf>
    <xf numFmtId="0" fontId="40" fillId="7" borderId="0" xfId="0" applyFont="1" applyFill="1" applyAlignment="1">
      <alignment horizontal="left" vertical="center"/>
    </xf>
    <xf numFmtId="0" fontId="43" fillId="6" borderId="0" xfId="0" applyFont="1" applyFill="1" applyAlignment="1">
      <alignment horizontal="left" vertical="center"/>
    </xf>
    <xf numFmtId="0" fontId="44" fillId="4" borderId="0" xfId="0" applyFont="1" applyFill="1" applyAlignment="1">
      <alignment horizontal="lef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B0000"/>
      <rgbColor rgb="FF006400"/>
      <rgbColor rgb="FF000080"/>
      <rgbColor rgb="FF8B6914"/>
      <rgbColor rgb="FF800080"/>
      <rgbColor rgb="FF16A085"/>
      <rgbColor rgb="FFC0C0C0"/>
      <rgbColor rgb="FF808080"/>
      <rgbColor rgb="FF9999FF"/>
      <rgbColor rgb="FF8E44AD"/>
      <rgbColor rgb="FFFFF8E1"/>
      <rgbColor rgb="FFE8F5E9"/>
      <rgbColor rgb="FF660066"/>
      <rgbColor rgb="FFFF8080"/>
      <rgbColor rgb="FF0066CC"/>
      <rgbColor rgb="FFD9DCE3"/>
      <rgbColor rgb="FF000080"/>
      <rgbColor rgb="FFFF00FF"/>
      <rgbColor rgb="FFFFFF00"/>
      <rgbColor rgb="FF00FFFF"/>
      <rgbColor rgb="FF800080"/>
      <rgbColor rgb="FF800000"/>
      <rgbColor rgb="FF2E86AB"/>
      <rgbColor rgb="FF0000FF"/>
      <rgbColor rgb="FF00CCFF"/>
      <rgbColor rgb="FFF2F4F7"/>
      <rgbColor rgb="FFCCFFCC"/>
      <rgbColor rgb="FFFFEBEE"/>
      <rgbColor rgb="FF99CCFF"/>
      <rgbColor rgb="FFFF99CC"/>
      <rgbColor rgb="FFCC99FF"/>
      <rgbColor rgb="FFFFCC99"/>
      <rgbColor rgb="FF3366FF"/>
      <rgbColor rgb="FF33CCCC"/>
      <rgbColor rgb="FF99CC00"/>
      <rgbColor rgb="FFFFCC00"/>
      <rgbColor rgb="FFFF9900"/>
      <rgbColor rgb="FFE67E22"/>
      <rgbColor rgb="FF6B7280"/>
      <rgbColor rgb="FFC9A84C"/>
      <rgbColor rgb="FF1F2D4E"/>
      <rgbColor rgb="FF27AE60"/>
      <rgbColor rgb="FF145A32"/>
      <rgbColor rgb="FF333300"/>
      <rgbColor rgb="FFC0392B"/>
      <rgbColor rgb="FF993366"/>
      <rgbColor rgb="FF333399"/>
      <rgbColor rgb="FF2C3E5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2D4E"/>
  </sheetPr>
  <dimension ref="B2:E29"/>
  <sheetViews>
    <sheetView showGridLines="0" tabSelected="1" zoomScaleNormal="100" workbookViewId="0"/>
  </sheetViews>
  <sheetFormatPr defaultColWidth="8.6640625" defaultRowHeight="14.25" x14ac:dyDescent="0.45"/>
  <cols>
    <col min="1" max="1" width="3" customWidth="1"/>
    <col min="2" max="3" width="32" customWidth="1"/>
    <col min="4" max="5" width="20" customWidth="1"/>
    <col min="6" max="6" width="3" customWidth="1"/>
  </cols>
  <sheetData>
    <row r="2" spans="2:5" ht="21.75" customHeight="1" x14ac:dyDescent="0.45">
      <c r="B2" s="198" t="s">
        <v>0</v>
      </c>
      <c r="C2" s="198"/>
      <c r="D2" s="198"/>
      <c r="E2" s="198"/>
    </row>
    <row r="3" spans="2:5" ht="21.75" customHeight="1" x14ac:dyDescent="0.45">
      <c r="B3" s="199" t="s">
        <v>1</v>
      </c>
      <c r="C3" s="199"/>
      <c r="D3" s="199"/>
      <c r="E3" s="199"/>
    </row>
    <row r="4" spans="2:5" ht="21.75" customHeight="1" x14ac:dyDescent="0.45">
      <c r="B4" s="200" t="s">
        <v>2</v>
      </c>
      <c r="C4" s="200"/>
      <c r="D4" s="200"/>
      <c r="E4" s="200"/>
    </row>
    <row r="5" spans="2:5" ht="21.75" customHeight="1" x14ac:dyDescent="0.45">
      <c r="B5" s="3"/>
      <c r="C5" s="3"/>
      <c r="D5" s="3"/>
      <c r="E5" s="3"/>
    </row>
    <row r="6" spans="2:5" ht="21.75" customHeight="1" x14ac:dyDescent="0.45">
      <c r="B6" s="201" t="s">
        <v>3</v>
      </c>
      <c r="C6" s="201"/>
      <c r="D6" s="202" t="s">
        <v>4</v>
      </c>
      <c r="E6" s="202"/>
    </row>
    <row r="7" spans="2:5" ht="21.75" customHeight="1" x14ac:dyDescent="0.45">
      <c r="B7" s="201" t="s">
        <v>5</v>
      </c>
      <c r="C7" s="201"/>
      <c r="D7" s="202" t="s">
        <v>6</v>
      </c>
      <c r="E7" s="202"/>
    </row>
    <row r="8" spans="2:5" ht="21.75" customHeight="1" x14ac:dyDescent="0.45">
      <c r="B8" s="201" t="s">
        <v>7</v>
      </c>
      <c r="C8" s="201"/>
      <c r="D8" s="202" t="s">
        <v>8</v>
      </c>
      <c r="E8" s="202"/>
    </row>
    <row r="9" spans="2:5" ht="21.75" customHeight="1" x14ac:dyDescent="0.45">
      <c r="B9" s="201" t="s">
        <v>9</v>
      </c>
      <c r="C9" s="201"/>
      <c r="D9" s="202" t="s">
        <v>10</v>
      </c>
      <c r="E9" s="202"/>
    </row>
    <row r="10" spans="2:5" ht="21.75" customHeight="1" x14ac:dyDescent="0.45">
      <c r="B10" s="201" t="s">
        <v>11</v>
      </c>
      <c r="C10" s="201"/>
      <c r="D10" s="202" t="s">
        <v>12</v>
      </c>
      <c r="E10" s="202"/>
    </row>
    <row r="11" spans="2:5" ht="21.75" customHeight="1" x14ac:dyDescent="0.45">
      <c r="B11" s="201" t="s">
        <v>13</v>
      </c>
      <c r="C11" s="201"/>
      <c r="D11" s="202" t="s">
        <v>14</v>
      </c>
      <c r="E11" s="202"/>
    </row>
    <row r="12" spans="2:5" ht="21.75" customHeight="1" x14ac:dyDescent="0.45">
      <c r="B12" s="201" t="s">
        <v>15</v>
      </c>
      <c r="C12" s="201"/>
      <c r="D12" s="203">
        <v>66.540000000000006</v>
      </c>
      <c r="E12" s="203"/>
    </row>
    <row r="13" spans="2:5" ht="21.75" customHeight="1" x14ac:dyDescent="0.45">
      <c r="B13" s="201" t="s">
        <v>16</v>
      </c>
      <c r="C13" s="201"/>
      <c r="D13" s="202" t="s">
        <v>17</v>
      </c>
      <c r="E13" s="202"/>
    </row>
    <row r="14" spans="2:5" ht="21.75" customHeight="1" x14ac:dyDescent="0.45">
      <c r="B14" s="201" t="s">
        <v>18</v>
      </c>
      <c r="C14" s="201"/>
      <c r="D14" s="202" t="s">
        <v>19</v>
      </c>
      <c r="E14" s="202"/>
    </row>
    <row r="15" spans="2:5" ht="21.75" customHeight="1" x14ac:dyDescent="0.45">
      <c r="B15" s="201" t="s">
        <v>20</v>
      </c>
      <c r="C15" s="201"/>
      <c r="D15" s="202" t="s">
        <v>21</v>
      </c>
      <c r="E15" s="202"/>
    </row>
    <row r="16" spans="2:5" ht="21.75" customHeight="1" x14ac:dyDescent="0.45">
      <c r="B16" s="201" t="s">
        <v>22</v>
      </c>
      <c r="C16" s="201"/>
      <c r="D16" s="202" t="s">
        <v>23</v>
      </c>
      <c r="E16" s="202"/>
    </row>
    <row r="17" spans="2:5" ht="21.75" customHeight="1" x14ac:dyDescent="0.45">
      <c r="B17" s="201" t="s">
        <v>24</v>
      </c>
      <c r="C17" s="201"/>
      <c r="D17" s="202" t="s">
        <v>25</v>
      </c>
      <c r="E17" s="202"/>
    </row>
    <row r="19" spans="2:5" ht="18" customHeight="1" x14ac:dyDescent="0.45"/>
    <row r="20" spans="2:5" ht="18" customHeight="1" x14ac:dyDescent="0.45">
      <c r="B20" s="206" t="s">
        <v>26</v>
      </c>
      <c r="C20" s="206"/>
      <c r="D20" s="206"/>
      <c r="E20" s="206"/>
    </row>
    <row r="21" spans="2:5" ht="18" customHeight="1" x14ac:dyDescent="0.45">
      <c r="B21" s="204" t="s">
        <v>27</v>
      </c>
      <c r="C21" s="204"/>
      <c r="D21" s="204"/>
      <c r="E21" s="204"/>
    </row>
    <row r="22" spans="2:5" ht="18" customHeight="1" x14ac:dyDescent="0.45">
      <c r="B22" s="204"/>
      <c r="C22" s="204"/>
      <c r="D22" s="204"/>
      <c r="E22" s="204"/>
    </row>
    <row r="23" spans="2:5" ht="18" customHeight="1" x14ac:dyDescent="0.45">
      <c r="B23" s="204"/>
      <c r="C23" s="204"/>
      <c r="D23" s="204"/>
      <c r="E23" s="204"/>
    </row>
    <row r="24" spans="2:5" ht="18" customHeight="1" x14ac:dyDescent="0.45">
      <c r="B24" s="204"/>
      <c r="C24" s="204"/>
      <c r="D24" s="204"/>
      <c r="E24" s="204"/>
    </row>
    <row r="25" spans="2:5" ht="18" customHeight="1" x14ac:dyDescent="0.45">
      <c r="B25" s="204"/>
      <c r="C25" s="204"/>
      <c r="D25" s="204"/>
      <c r="E25" s="204"/>
    </row>
    <row r="26" spans="2:5" ht="18" customHeight="1" x14ac:dyDescent="0.45">
      <c r="B26" s="204"/>
      <c r="C26" s="204"/>
      <c r="D26" s="204"/>
      <c r="E26" s="204"/>
    </row>
    <row r="27" spans="2:5" ht="30" customHeight="1" x14ac:dyDescent="0.45">
      <c r="B27" s="205" t="s">
        <v>28</v>
      </c>
      <c r="C27" s="205"/>
      <c r="D27" s="205"/>
      <c r="E27" s="205"/>
    </row>
    <row r="28" spans="2:5" ht="18" customHeight="1" x14ac:dyDescent="0.45"/>
    <row r="29" spans="2:5" ht="18" customHeight="1" x14ac:dyDescent="0.45"/>
  </sheetData>
  <mergeCells count="30">
    <mergeCell ref="B21:E26"/>
    <mergeCell ref="B27:E27"/>
    <mergeCell ref="B16:C16"/>
    <mergeCell ref="D16:E16"/>
    <mergeCell ref="B17:C17"/>
    <mergeCell ref="D17:E17"/>
    <mergeCell ref="B20:E20"/>
    <mergeCell ref="B13:C13"/>
    <mergeCell ref="D13:E13"/>
    <mergeCell ref="B14:C14"/>
    <mergeCell ref="D14:E14"/>
    <mergeCell ref="B15:C15"/>
    <mergeCell ref="D15:E15"/>
    <mergeCell ref="B10:C10"/>
    <mergeCell ref="D10:E10"/>
    <mergeCell ref="B11:C11"/>
    <mergeCell ref="D11:E11"/>
    <mergeCell ref="B12:C12"/>
    <mergeCell ref="D12:E12"/>
    <mergeCell ref="B7:C7"/>
    <mergeCell ref="D7:E7"/>
    <mergeCell ref="B8:C8"/>
    <mergeCell ref="D8:E8"/>
    <mergeCell ref="B9:C9"/>
    <mergeCell ref="D9:E9"/>
    <mergeCell ref="B2:E2"/>
    <mergeCell ref="B3:E3"/>
    <mergeCell ref="B4:E4"/>
    <mergeCell ref="B6:C6"/>
    <mergeCell ref="D6:E6"/>
  </mergeCells>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6A085"/>
  </sheetPr>
  <dimension ref="B1:B18"/>
  <sheetViews>
    <sheetView showGridLines="0" zoomScaleNormal="100" workbookViewId="0"/>
  </sheetViews>
  <sheetFormatPr defaultColWidth="8.6640625" defaultRowHeight="14.25" x14ac:dyDescent="0.45"/>
  <cols>
    <col min="1" max="1" width="3" customWidth="1"/>
    <col min="2" max="2" width="70" customWidth="1"/>
    <col min="3" max="3" width="3" customWidth="1"/>
  </cols>
  <sheetData>
    <row r="1" spans="2:2" ht="30" customHeight="1" x14ac:dyDescent="0.45">
      <c r="B1" s="2" t="s">
        <v>582</v>
      </c>
    </row>
    <row r="3" spans="2:2" ht="24" customHeight="1" x14ac:dyDescent="0.45">
      <c r="B3" s="180" t="s">
        <v>583</v>
      </c>
    </row>
    <row r="4" spans="2:2" ht="30" customHeight="1" x14ac:dyDescent="0.45">
      <c r="B4" s="181" t="s">
        <v>584</v>
      </c>
    </row>
    <row r="5" spans="2:2" ht="24" customHeight="1" x14ac:dyDescent="0.45">
      <c r="B5" s="182" t="s">
        <v>585</v>
      </c>
    </row>
    <row r="6" spans="2:2" ht="273" customHeight="1" x14ac:dyDescent="0.45">
      <c r="B6" s="183" t="s">
        <v>586</v>
      </c>
    </row>
    <row r="7" spans="2:2" ht="24" customHeight="1" x14ac:dyDescent="0.45">
      <c r="B7" s="184" t="s">
        <v>587</v>
      </c>
    </row>
    <row r="8" spans="2:2" ht="409.6" customHeight="1" x14ac:dyDescent="0.45">
      <c r="B8" s="183" t="s">
        <v>588</v>
      </c>
    </row>
    <row r="9" spans="2:2" ht="24" customHeight="1" x14ac:dyDescent="0.45">
      <c r="B9" s="185" t="s">
        <v>589</v>
      </c>
    </row>
    <row r="10" spans="2:2" ht="190.5" customHeight="1" x14ac:dyDescent="0.45">
      <c r="B10" s="183" t="s">
        <v>590</v>
      </c>
    </row>
    <row r="11" spans="2:2" ht="24" customHeight="1" x14ac:dyDescent="0.45">
      <c r="B11" s="186" t="s">
        <v>591</v>
      </c>
    </row>
    <row r="12" spans="2:2" ht="370.5" customHeight="1" x14ac:dyDescent="0.45">
      <c r="B12" s="183" t="s">
        <v>592</v>
      </c>
    </row>
    <row r="13" spans="2:2" ht="24" customHeight="1" x14ac:dyDescent="0.45">
      <c r="B13" s="184" t="s">
        <v>593</v>
      </c>
    </row>
    <row r="14" spans="2:2" ht="390" customHeight="1" x14ac:dyDescent="0.45">
      <c r="B14" s="183" t="s">
        <v>594</v>
      </c>
    </row>
    <row r="15" spans="2:2" ht="24" customHeight="1" x14ac:dyDescent="0.45">
      <c r="B15" s="184" t="s">
        <v>595</v>
      </c>
    </row>
    <row r="16" spans="2:2" ht="409.6" customHeight="1" x14ac:dyDescent="0.45">
      <c r="B16" s="183" t="s">
        <v>596</v>
      </c>
    </row>
    <row r="17" spans="2:2" ht="24" customHeight="1" x14ac:dyDescent="0.45">
      <c r="B17" s="187" t="s">
        <v>597</v>
      </c>
    </row>
    <row r="18" spans="2:2" ht="409.6" customHeight="1" x14ac:dyDescent="0.45">
      <c r="B18" s="181" t="s">
        <v>598</v>
      </c>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9A84C"/>
  </sheetPr>
  <dimension ref="B1:F73"/>
  <sheetViews>
    <sheetView showGridLines="0" zoomScaleNormal="100" workbookViewId="0">
      <pane xSplit="2" ySplit="3" topLeftCell="C64" activePane="bottomRight" state="frozen"/>
      <selection pane="topRight" activeCell="C1" sqref="C1"/>
      <selection pane="bottomLeft" activeCell="A4" sqref="A4"/>
      <selection pane="bottomRight" activeCell="C44" sqref="C44"/>
    </sheetView>
  </sheetViews>
  <sheetFormatPr defaultColWidth="8.6640625" defaultRowHeight="14.25" x14ac:dyDescent="0.45"/>
  <cols>
    <col min="1" max="1" width="3" customWidth="1"/>
    <col min="2" max="2" width="40" customWidth="1"/>
    <col min="3" max="3" width="15.06640625" customWidth="1"/>
    <col min="4" max="4" width="16" customWidth="1"/>
    <col min="5" max="5" width="52" customWidth="1"/>
    <col min="6" max="6" width="18" customWidth="1"/>
    <col min="7" max="7" width="3" customWidth="1"/>
  </cols>
  <sheetData>
    <row r="1" spans="2:6" ht="27.75" customHeight="1" x14ac:dyDescent="0.45">
      <c r="B1" s="207" t="s">
        <v>29</v>
      </c>
      <c r="C1" s="207"/>
      <c r="D1" s="207"/>
      <c r="E1" s="207"/>
      <c r="F1" s="207"/>
    </row>
    <row r="3" spans="2:6" ht="19.5" customHeight="1" x14ac:dyDescent="0.45">
      <c r="B3" s="4" t="s">
        <v>30</v>
      </c>
      <c r="C3" s="4" t="s">
        <v>31</v>
      </c>
      <c r="D3" s="4" t="s">
        <v>32</v>
      </c>
      <c r="E3" s="4" t="s">
        <v>33</v>
      </c>
      <c r="F3" s="4" t="s">
        <v>34</v>
      </c>
    </row>
    <row r="4" spans="2:6" ht="19.5" customHeight="1" x14ac:dyDescent="0.45">
      <c r="B4" s="193" t="s">
        <v>35</v>
      </c>
      <c r="C4" s="193"/>
      <c r="D4" s="193"/>
      <c r="E4" s="193"/>
      <c r="F4" s="193"/>
    </row>
    <row r="5" spans="2:6" ht="30" customHeight="1" x14ac:dyDescent="0.45">
      <c r="B5" s="5" t="s">
        <v>36</v>
      </c>
      <c r="C5" s="6">
        <v>66.540000000000006</v>
      </c>
      <c r="D5" s="7" t="s">
        <v>37</v>
      </c>
      <c r="E5" s="8" t="s">
        <v>38</v>
      </c>
      <c r="F5" s="9" t="s">
        <v>39</v>
      </c>
    </row>
    <row r="6" spans="2:6" ht="30" customHeight="1" x14ac:dyDescent="0.45">
      <c r="B6" s="10" t="s">
        <v>40</v>
      </c>
      <c r="C6" s="11" t="s">
        <v>41</v>
      </c>
      <c r="D6" s="12" t="s">
        <v>42</v>
      </c>
      <c r="E6" s="13" t="s">
        <v>43</v>
      </c>
      <c r="F6" s="9" t="s">
        <v>39</v>
      </c>
    </row>
    <row r="7" spans="2:6" ht="30" customHeight="1" x14ac:dyDescent="0.45">
      <c r="B7" s="5" t="s">
        <v>44</v>
      </c>
      <c r="C7" s="14" t="s">
        <v>45</v>
      </c>
      <c r="D7" s="7" t="s">
        <v>42</v>
      </c>
      <c r="E7" s="8" t="s">
        <v>46</v>
      </c>
      <c r="F7" s="9" t="s">
        <v>39</v>
      </c>
    </row>
    <row r="8" spans="2:6" ht="30" customHeight="1" x14ac:dyDescent="0.45">
      <c r="B8" s="10" t="s">
        <v>47</v>
      </c>
      <c r="C8" s="11" t="s">
        <v>48</v>
      </c>
      <c r="D8" s="12" t="s">
        <v>42</v>
      </c>
      <c r="E8" s="13" t="s">
        <v>49</v>
      </c>
      <c r="F8" s="9" t="s">
        <v>39</v>
      </c>
    </row>
    <row r="9" spans="2:6" ht="30" customHeight="1" x14ac:dyDescent="0.45">
      <c r="B9" s="5" t="s">
        <v>50</v>
      </c>
      <c r="C9" s="14" t="s">
        <v>51</v>
      </c>
      <c r="D9" s="7" t="s">
        <v>42</v>
      </c>
      <c r="E9" s="8" t="s">
        <v>52</v>
      </c>
      <c r="F9" s="9" t="s">
        <v>39</v>
      </c>
    </row>
    <row r="10" spans="2:6" ht="30" customHeight="1" x14ac:dyDescent="0.45">
      <c r="B10" s="10" t="s">
        <v>53</v>
      </c>
      <c r="C10" s="11" t="s">
        <v>54</v>
      </c>
      <c r="D10" s="12" t="s">
        <v>42</v>
      </c>
      <c r="E10" s="13" t="s">
        <v>55</v>
      </c>
      <c r="F10" s="9" t="s">
        <v>39</v>
      </c>
    </row>
    <row r="11" spans="2:6" ht="30" customHeight="1" x14ac:dyDescent="0.45">
      <c r="B11" s="5" t="s">
        <v>18</v>
      </c>
      <c r="C11" s="14" t="s">
        <v>56</v>
      </c>
      <c r="D11" s="7" t="s">
        <v>42</v>
      </c>
      <c r="E11" s="8" t="s">
        <v>57</v>
      </c>
      <c r="F11" s="9" t="s">
        <v>39</v>
      </c>
    </row>
    <row r="12" spans="2:6" ht="30" customHeight="1" x14ac:dyDescent="0.45">
      <c r="B12" s="10" t="s">
        <v>58</v>
      </c>
      <c r="C12" s="15">
        <v>6.4000000000000001E-2</v>
      </c>
      <c r="D12" s="12" t="s">
        <v>59</v>
      </c>
      <c r="E12" s="13" t="s">
        <v>60</v>
      </c>
      <c r="F12" s="9" t="s">
        <v>39</v>
      </c>
    </row>
    <row r="14" spans="2:6" ht="19.5" customHeight="1" x14ac:dyDescent="0.45">
      <c r="B14" s="193" t="s">
        <v>61</v>
      </c>
      <c r="C14" s="193"/>
      <c r="D14" s="193"/>
      <c r="E14" s="193"/>
      <c r="F14" s="193"/>
    </row>
    <row r="15" spans="2:6" ht="30" customHeight="1" x14ac:dyDescent="0.45">
      <c r="B15" s="5" t="s">
        <v>62</v>
      </c>
      <c r="C15" s="14" t="s">
        <v>63</v>
      </c>
      <c r="D15" s="7" t="s">
        <v>64</v>
      </c>
      <c r="E15" s="8" t="s">
        <v>65</v>
      </c>
      <c r="F15" s="9" t="s">
        <v>39</v>
      </c>
    </row>
    <row r="16" spans="2:6" ht="30" customHeight="1" x14ac:dyDescent="0.45">
      <c r="B16" s="10" t="s">
        <v>66</v>
      </c>
      <c r="C16" s="11" t="s">
        <v>67</v>
      </c>
      <c r="D16" s="12" t="s">
        <v>64</v>
      </c>
      <c r="E16" s="13" t="s">
        <v>68</v>
      </c>
      <c r="F16" s="9" t="s">
        <v>39</v>
      </c>
    </row>
    <row r="17" spans="2:6" ht="30" customHeight="1" x14ac:dyDescent="0.45">
      <c r="B17" s="5" t="s">
        <v>69</v>
      </c>
      <c r="C17" s="16">
        <v>1.2999999999999999E-2</v>
      </c>
      <c r="D17" s="7" t="s">
        <v>64</v>
      </c>
      <c r="E17" s="8" t="s">
        <v>70</v>
      </c>
      <c r="F17" s="9" t="s">
        <v>39</v>
      </c>
    </row>
    <row r="18" spans="2:6" ht="30" customHeight="1" x14ac:dyDescent="0.45">
      <c r="B18" s="10" t="s">
        <v>71</v>
      </c>
      <c r="C18" s="11" t="s">
        <v>72</v>
      </c>
      <c r="D18" s="12" t="s">
        <v>72</v>
      </c>
      <c r="E18" s="13" t="s">
        <v>73</v>
      </c>
      <c r="F18" s="9" t="s">
        <v>39</v>
      </c>
    </row>
    <row r="19" spans="2:6" ht="30" customHeight="1" x14ac:dyDescent="0.45">
      <c r="B19" s="5" t="s">
        <v>74</v>
      </c>
      <c r="C19" s="14" t="s">
        <v>75</v>
      </c>
      <c r="D19" s="7" t="s">
        <v>76</v>
      </c>
      <c r="E19" s="8" t="s">
        <v>77</v>
      </c>
      <c r="F19" s="17" t="s">
        <v>78</v>
      </c>
    </row>
    <row r="20" spans="2:6" ht="30" customHeight="1" x14ac:dyDescent="0.45">
      <c r="B20" s="10" t="s">
        <v>79</v>
      </c>
      <c r="C20" s="15">
        <v>2.5000000000000001E-2</v>
      </c>
      <c r="D20" s="12" t="s">
        <v>80</v>
      </c>
      <c r="E20" s="13" t="s">
        <v>81</v>
      </c>
      <c r="F20" s="17" t="s">
        <v>78</v>
      </c>
    </row>
    <row r="21" spans="2:6" ht="30" customHeight="1" x14ac:dyDescent="0.45">
      <c r="B21" s="5" t="s">
        <v>82</v>
      </c>
      <c r="C21" s="14" t="s">
        <v>83</v>
      </c>
      <c r="D21" s="7" t="s">
        <v>42</v>
      </c>
      <c r="E21" s="8" t="s">
        <v>84</v>
      </c>
      <c r="F21" s="9" t="s">
        <v>39</v>
      </c>
    </row>
    <row r="22" spans="2:6" ht="30" customHeight="1" x14ac:dyDescent="0.45">
      <c r="B22" s="10" t="s">
        <v>85</v>
      </c>
      <c r="C22" s="11" t="s">
        <v>86</v>
      </c>
      <c r="D22" s="12" t="s">
        <v>42</v>
      </c>
      <c r="E22" s="13" t="s">
        <v>87</v>
      </c>
      <c r="F22" s="9" t="s">
        <v>39</v>
      </c>
    </row>
    <row r="24" spans="2:6" ht="19.5" customHeight="1" x14ac:dyDescent="0.45">
      <c r="B24" s="193" t="s">
        <v>88</v>
      </c>
      <c r="C24" s="193"/>
      <c r="D24" s="193"/>
      <c r="E24" s="193"/>
      <c r="F24" s="193"/>
    </row>
    <row r="25" spans="2:6" ht="30" customHeight="1" x14ac:dyDescent="0.45">
      <c r="B25" s="5" t="s">
        <v>89</v>
      </c>
      <c r="C25" s="14" t="s">
        <v>90</v>
      </c>
      <c r="D25" s="7" t="s">
        <v>64</v>
      </c>
      <c r="E25" s="8" t="s">
        <v>91</v>
      </c>
      <c r="F25" s="9" t="s">
        <v>39</v>
      </c>
    </row>
    <row r="26" spans="2:6" ht="30" customHeight="1" x14ac:dyDescent="0.45">
      <c r="B26" s="10" t="s">
        <v>92</v>
      </c>
      <c r="C26" s="15">
        <v>0.15</v>
      </c>
      <c r="D26" s="12" t="s">
        <v>64</v>
      </c>
      <c r="E26" s="13" t="s">
        <v>93</v>
      </c>
      <c r="F26" s="9" t="s">
        <v>39</v>
      </c>
    </row>
    <row r="27" spans="2:6" ht="30" customHeight="1" x14ac:dyDescent="0.45">
      <c r="B27" s="5" t="s">
        <v>94</v>
      </c>
      <c r="C27" s="16">
        <v>0.14549999999999999</v>
      </c>
      <c r="D27" s="7" t="s">
        <v>64</v>
      </c>
      <c r="E27" s="8" t="s">
        <v>95</v>
      </c>
      <c r="F27" s="9" t="s">
        <v>39</v>
      </c>
    </row>
    <row r="28" spans="2:6" ht="30" customHeight="1" x14ac:dyDescent="0.45">
      <c r="B28" s="10" t="s">
        <v>96</v>
      </c>
      <c r="C28" s="15">
        <v>0.20399999999999999</v>
      </c>
      <c r="D28" s="12" t="s">
        <v>64</v>
      </c>
      <c r="E28" s="13" t="s">
        <v>97</v>
      </c>
      <c r="F28" s="9" t="s">
        <v>39</v>
      </c>
    </row>
    <row r="29" spans="2:6" ht="30" customHeight="1" x14ac:dyDescent="0.45">
      <c r="B29" s="5" t="s">
        <v>98</v>
      </c>
      <c r="C29" s="14" t="s">
        <v>99</v>
      </c>
      <c r="D29" s="7" t="s">
        <v>42</v>
      </c>
      <c r="E29" s="8" t="s">
        <v>100</v>
      </c>
      <c r="F29" s="18" t="s">
        <v>101</v>
      </c>
    </row>
    <row r="30" spans="2:6" ht="30" customHeight="1" x14ac:dyDescent="0.45">
      <c r="B30" s="10" t="s">
        <v>102</v>
      </c>
      <c r="C30" s="15">
        <v>0.14000000000000001</v>
      </c>
      <c r="D30" s="12" t="s">
        <v>103</v>
      </c>
      <c r="E30" s="13" t="s">
        <v>104</v>
      </c>
      <c r="F30" s="17" t="s">
        <v>78</v>
      </c>
    </row>
    <row r="31" spans="2:6" ht="30" customHeight="1" x14ac:dyDescent="0.45">
      <c r="B31" s="5" t="s">
        <v>105</v>
      </c>
      <c r="C31" s="14" t="s">
        <v>106</v>
      </c>
      <c r="D31" s="7" t="s">
        <v>107</v>
      </c>
      <c r="E31" s="8" t="s">
        <v>108</v>
      </c>
      <c r="F31" s="9" t="s">
        <v>39</v>
      </c>
    </row>
    <row r="32" spans="2:6" ht="30" customHeight="1" x14ac:dyDescent="0.45">
      <c r="B32" s="10" t="s">
        <v>109</v>
      </c>
      <c r="C32" s="11" t="s">
        <v>110</v>
      </c>
      <c r="D32" s="12" t="s">
        <v>111</v>
      </c>
      <c r="E32" s="13" t="s">
        <v>112</v>
      </c>
      <c r="F32" s="17" t="s">
        <v>78</v>
      </c>
    </row>
    <row r="34" spans="2:6" ht="19.5" customHeight="1" x14ac:dyDescent="0.45">
      <c r="B34" s="193" t="s">
        <v>113</v>
      </c>
      <c r="C34" s="193"/>
      <c r="D34" s="193"/>
      <c r="E34" s="193"/>
      <c r="F34" s="193"/>
    </row>
    <row r="35" spans="2:6" ht="30" customHeight="1" x14ac:dyDescent="0.45">
      <c r="B35" s="5" t="s">
        <v>114</v>
      </c>
      <c r="C35" s="16">
        <v>3.3000000000000002E-2</v>
      </c>
      <c r="D35" s="7" t="s">
        <v>115</v>
      </c>
      <c r="E35" s="8" t="s">
        <v>116</v>
      </c>
      <c r="F35" s="9" t="s">
        <v>39</v>
      </c>
    </row>
    <row r="36" spans="2:6" ht="30" customHeight="1" x14ac:dyDescent="0.45">
      <c r="B36" s="10" t="s">
        <v>117</v>
      </c>
      <c r="C36" s="15">
        <v>5.5E-2</v>
      </c>
      <c r="D36" s="12" t="s">
        <v>118</v>
      </c>
      <c r="E36" s="13" t="s">
        <v>119</v>
      </c>
      <c r="F36" s="9" t="s">
        <v>39</v>
      </c>
    </row>
    <row r="37" spans="2:6" ht="30" customHeight="1" x14ac:dyDescent="0.45">
      <c r="B37" s="5" t="s">
        <v>120</v>
      </c>
      <c r="C37" s="19">
        <v>0.85</v>
      </c>
      <c r="D37" s="7" t="s">
        <v>121</v>
      </c>
      <c r="E37" s="8" t="s">
        <v>122</v>
      </c>
      <c r="F37" s="17" t="s">
        <v>78</v>
      </c>
    </row>
    <row r="38" spans="2:6" ht="30" customHeight="1" x14ac:dyDescent="0.45">
      <c r="B38" s="10" t="s">
        <v>123</v>
      </c>
      <c r="C38" s="15">
        <v>0.08</v>
      </c>
      <c r="D38" s="12" t="s">
        <v>42</v>
      </c>
      <c r="E38" s="13" t="s">
        <v>124</v>
      </c>
      <c r="F38" s="17" t="s">
        <v>78</v>
      </c>
    </row>
    <row r="39" spans="2:6" ht="30" customHeight="1" x14ac:dyDescent="0.45">
      <c r="B39" s="5" t="s">
        <v>125</v>
      </c>
      <c r="C39" s="16">
        <v>5.5E-2</v>
      </c>
      <c r="D39" s="7" t="s">
        <v>118</v>
      </c>
      <c r="E39" s="8" t="s">
        <v>126</v>
      </c>
      <c r="F39" s="17" t="s">
        <v>78</v>
      </c>
    </row>
    <row r="40" spans="2:6" ht="30" customHeight="1" x14ac:dyDescent="0.45">
      <c r="B40" s="10" t="s">
        <v>127</v>
      </c>
      <c r="C40" s="15">
        <v>0.24</v>
      </c>
      <c r="D40" s="12" t="s">
        <v>128</v>
      </c>
      <c r="E40" s="13" t="s">
        <v>129</v>
      </c>
      <c r="F40" s="9" t="s">
        <v>39</v>
      </c>
    </row>
    <row r="41" spans="2:6" ht="30" customHeight="1" x14ac:dyDescent="0.45">
      <c r="B41" s="5" t="s">
        <v>130</v>
      </c>
      <c r="C41" s="16">
        <v>4.1799999999999997E-2</v>
      </c>
      <c r="D41" s="7" t="s">
        <v>42</v>
      </c>
      <c r="E41" s="8" t="s">
        <v>131</v>
      </c>
      <c r="F41" s="17" t="s">
        <v>78</v>
      </c>
    </row>
    <row r="42" spans="2:6" ht="30" customHeight="1" x14ac:dyDescent="0.45">
      <c r="B42" s="10" t="s">
        <v>132</v>
      </c>
      <c r="C42" s="15">
        <v>0.65</v>
      </c>
      <c r="D42" s="12" t="s">
        <v>133</v>
      </c>
      <c r="E42" s="13" t="s">
        <v>134</v>
      </c>
      <c r="F42" s="17" t="s">
        <v>78</v>
      </c>
    </row>
    <row r="43" spans="2:6" ht="30" customHeight="1" x14ac:dyDescent="0.45">
      <c r="B43" s="5" t="s">
        <v>135</v>
      </c>
      <c r="C43" s="16">
        <v>0.35</v>
      </c>
      <c r="D43" s="7" t="s">
        <v>136</v>
      </c>
      <c r="E43" s="8" t="s">
        <v>137</v>
      </c>
      <c r="F43" s="17" t="s">
        <v>78</v>
      </c>
    </row>
    <row r="44" spans="2:6" ht="30" customHeight="1" x14ac:dyDescent="0.45">
      <c r="B44" s="10" t="s">
        <v>138</v>
      </c>
      <c r="C44" s="15">
        <v>6.7000000000000004E-2</v>
      </c>
      <c r="D44" s="12" t="s">
        <v>139</v>
      </c>
      <c r="E44" s="13" t="s">
        <v>140</v>
      </c>
      <c r="F44" s="17" t="s">
        <v>78</v>
      </c>
    </row>
    <row r="46" spans="2:6" ht="19.5" customHeight="1" x14ac:dyDescent="0.45">
      <c r="B46" s="193" t="s">
        <v>141</v>
      </c>
      <c r="C46" s="193"/>
      <c r="D46" s="193"/>
      <c r="E46" s="193"/>
      <c r="F46" s="193"/>
    </row>
    <row r="47" spans="2:6" ht="30" customHeight="1" x14ac:dyDescent="0.45">
      <c r="B47" s="5" t="s">
        <v>142</v>
      </c>
      <c r="C47" s="14" t="s">
        <v>56</v>
      </c>
      <c r="D47" s="7" t="s">
        <v>42</v>
      </c>
      <c r="E47" s="8" t="s">
        <v>143</v>
      </c>
      <c r="F47" s="9" t="s">
        <v>39</v>
      </c>
    </row>
    <row r="48" spans="2:6" ht="30" customHeight="1" x14ac:dyDescent="0.45">
      <c r="B48" s="10" t="s">
        <v>144</v>
      </c>
      <c r="C48" s="11" t="s">
        <v>145</v>
      </c>
      <c r="D48" s="12" t="s">
        <v>42</v>
      </c>
      <c r="E48" s="13" t="s">
        <v>146</v>
      </c>
      <c r="F48" s="9" t="s">
        <v>39</v>
      </c>
    </row>
    <row r="49" spans="2:6" ht="30" customHeight="1" x14ac:dyDescent="0.45">
      <c r="B49" s="5" t="s">
        <v>147</v>
      </c>
      <c r="C49" s="14" t="s">
        <v>148</v>
      </c>
      <c r="D49" s="7" t="s">
        <v>42</v>
      </c>
      <c r="E49" s="8" t="s">
        <v>149</v>
      </c>
      <c r="F49" s="9" t="s">
        <v>39</v>
      </c>
    </row>
    <row r="50" spans="2:6" ht="30" customHeight="1" x14ac:dyDescent="0.45">
      <c r="B50" s="10" t="s">
        <v>150</v>
      </c>
      <c r="C50" s="15">
        <v>0.5</v>
      </c>
      <c r="D50" s="12" t="s">
        <v>151</v>
      </c>
      <c r="E50" s="13" t="s">
        <v>152</v>
      </c>
      <c r="F50" s="17" t="s">
        <v>78</v>
      </c>
    </row>
    <row r="51" spans="2:6" ht="30" customHeight="1" x14ac:dyDescent="0.45">
      <c r="B51" s="5" t="s">
        <v>153</v>
      </c>
      <c r="C51" s="16">
        <v>0.4</v>
      </c>
      <c r="D51" s="7" t="s">
        <v>154</v>
      </c>
      <c r="E51" s="8" t="s">
        <v>155</v>
      </c>
      <c r="F51" s="17" t="s">
        <v>78</v>
      </c>
    </row>
    <row r="52" spans="2:6" ht="30" customHeight="1" x14ac:dyDescent="0.45">
      <c r="B52" s="10" t="s">
        <v>156</v>
      </c>
      <c r="C52" s="15">
        <v>0.1</v>
      </c>
      <c r="D52" s="12" t="s">
        <v>157</v>
      </c>
      <c r="E52" s="13" t="s">
        <v>158</v>
      </c>
      <c r="F52" s="18" t="s">
        <v>101</v>
      </c>
    </row>
    <row r="53" spans="2:6" ht="30" customHeight="1" x14ac:dyDescent="0.45">
      <c r="B53" s="5" t="s">
        <v>159</v>
      </c>
      <c r="C53" s="14" t="s">
        <v>42</v>
      </c>
      <c r="D53" s="7" t="s">
        <v>42</v>
      </c>
      <c r="E53" s="8" t="s">
        <v>160</v>
      </c>
      <c r="F53" s="18" t="s">
        <v>101</v>
      </c>
    </row>
    <row r="54" spans="2:6" ht="30" customHeight="1" x14ac:dyDescent="0.45">
      <c r="B54" s="10" t="s">
        <v>161</v>
      </c>
      <c r="C54" s="15">
        <v>7.0000000000000007E-2</v>
      </c>
      <c r="D54" s="12" t="s">
        <v>162</v>
      </c>
      <c r="E54" s="13" t="s">
        <v>163</v>
      </c>
      <c r="F54" s="17" t="s">
        <v>78</v>
      </c>
    </row>
    <row r="55" spans="2:6" ht="30" customHeight="1" x14ac:dyDescent="0.45">
      <c r="B55" s="5" t="s">
        <v>164</v>
      </c>
      <c r="C55" s="16">
        <v>0.11</v>
      </c>
      <c r="D55" s="7" t="s">
        <v>165</v>
      </c>
      <c r="E55" s="8" t="s">
        <v>166</v>
      </c>
      <c r="F55" s="17" t="s">
        <v>78</v>
      </c>
    </row>
    <row r="56" spans="2:6" ht="30" customHeight="1" x14ac:dyDescent="0.45">
      <c r="B56" s="10" t="s">
        <v>167</v>
      </c>
      <c r="C56" s="11" t="s">
        <v>168</v>
      </c>
      <c r="D56" s="12" t="s">
        <v>169</v>
      </c>
      <c r="E56" s="13" t="s">
        <v>170</v>
      </c>
      <c r="F56" s="17" t="s">
        <v>78</v>
      </c>
    </row>
    <row r="57" spans="2:6" ht="30" customHeight="1" x14ac:dyDescent="0.45">
      <c r="B57" s="5" t="s">
        <v>171</v>
      </c>
      <c r="C57" s="20">
        <v>5.5</v>
      </c>
      <c r="D57" s="7" t="s">
        <v>172</v>
      </c>
      <c r="E57" s="8" t="s">
        <v>173</v>
      </c>
      <c r="F57" s="18" t="s">
        <v>101</v>
      </c>
    </row>
    <row r="58" spans="2:6" ht="30" customHeight="1" x14ac:dyDescent="0.45">
      <c r="B58" s="10" t="s">
        <v>174</v>
      </c>
      <c r="C58" s="21">
        <v>9</v>
      </c>
      <c r="D58" s="12" t="s">
        <v>175</v>
      </c>
      <c r="E58" s="13" t="s">
        <v>176</v>
      </c>
      <c r="F58" s="17" t="s">
        <v>78</v>
      </c>
    </row>
    <row r="59" spans="2:6" ht="30" customHeight="1" x14ac:dyDescent="0.45">
      <c r="B59" s="5" t="s">
        <v>177</v>
      </c>
      <c r="C59" s="20">
        <v>13</v>
      </c>
      <c r="D59" s="7" t="s">
        <v>178</v>
      </c>
      <c r="E59" s="8" t="s">
        <v>179</v>
      </c>
      <c r="F59" s="17" t="s">
        <v>78</v>
      </c>
    </row>
    <row r="61" spans="2:6" ht="19.5" customHeight="1" x14ac:dyDescent="0.45">
      <c r="B61" s="193" t="s">
        <v>180</v>
      </c>
      <c r="C61" s="193"/>
      <c r="D61" s="193"/>
      <c r="E61" s="193"/>
      <c r="F61" s="193"/>
    </row>
    <row r="62" spans="2:6" ht="30" customHeight="1" x14ac:dyDescent="0.45">
      <c r="B62" s="5" t="s">
        <v>181</v>
      </c>
      <c r="C62" s="16">
        <v>0.15</v>
      </c>
      <c r="D62" s="7" t="s">
        <v>182</v>
      </c>
      <c r="E62" s="8" t="s">
        <v>183</v>
      </c>
      <c r="F62" s="17" t="s">
        <v>78</v>
      </c>
    </row>
    <row r="63" spans="2:6" ht="30" customHeight="1" x14ac:dyDescent="0.45">
      <c r="B63" s="10" t="s">
        <v>184</v>
      </c>
      <c r="C63" s="15">
        <v>0.6</v>
      </c>
      <c r="D63" s="12" t="s">
        <v>185</v>
      </c>
      <c r="E63" s="13" t="s">
        <v>186</v>
      </c>
      <c r="F63" s="17" t="s">
        <v>78</v>
      </c>
    </row>
    <row r="64" spans="2:6" ht="35.25" customHeight="1" x14ac:dyDescent="0.45">
      <c r="B64" s="5" t="s">
        <v>187</v>
      </c>
      <c r="C64" s="16">
        <v>0.25</v>
      </c>
      <c r="D64" s="7" t="s">
        <v>188</v>
      </c>
      <c r="E64" s="8" t="s">
        <v>189</v>
      </c>
      <c r="F64" s="18" t="s">
        <v>101</v>
      </c>
    </row>
    <row r="65" spans="2:6" ht="30" customHeight="1" x14ac:dyDescent="0.45">
      <c r="B65" s="10" t="s">
        <v>190</v>
      </c>
      <c r="C65" s="11" t="s">
        <v>191</v>
      </c>
      <c r="D65" s="12" t="s">
        <v>42</v>
      </c>
      <c r="E65" s="13" t="s">
        <v>192</v>
      </c>
      <c r="F65" s="17" t="s">
        <v>78</v>
      </c>
    </row>
    <row r="67" spans="2:6" ht="19.5" customHeight="1" x14ac:dyDescent="0.45">
      <c r="B67" s="193" t="s">
        <v>193</v>
      </c>
      <c r="C67" s="193"/>
      <c r="D67" s="193"/>
      <c r="E67" s="193"/>
      <c r="F67" s="193"/>
    </row>
    <row r="68" spans="2:6" ht="30" customHeight="1" x14ac:dyDescent="0.45">
      <c r="B68" s="5" t="s">
        <v>194</v>
      </c>
      <c r="C68" s="20">
        <v>5.62</v>
      </c>
      <c r="D68" s="7" t="s">
        <v>42</v>
      </c>
      <c r="E68" s="8" t="s">
        <v>195</v>
      </c>
      <c r="F68" s="9" t="s">
        <v>39</v>
      </c>
    </row>
    <row r="69" spans="2:6" ht="30" customHeight="1" x14ac:dyDescent="0.45">
      <c r="B69" s="10" t="s">
        <v>196</v>
      </c>
      <c r="C69" s="21">
        <v>7.4</v>
      </c>
      <c r="D69" s="12" t="s">
        <v>42</v>
      </c>
      <c r="E69" s="13" t="s">
        <v>197</v>
      </c>
      <c r="F69" s="9" t="s">
        <v>39</v>
      </c>
    </row>
    <row r="70" spans="2:6" ht="30" customHeight="1" x14ac:dyDescent="0.45">
      <c r="B70" s="5" t="s">
        <v>198</v>
      </c>
      <c r="C70" s="14" t="s">
        <v>199</v>
      </c>
      <c r="D70" s="7" t="s">
        <v>42</v>
      </c>
      <c r="E70" s="8" t="s">
        <v>200</v>
      </c>
      <c r="F70" s="17" t="s">
        <v>78</v>
      </c>
    </row>
    <row r="71" spans="2:6" ht="30" customHeight="1" x14ac:dyDescent="0.45">
      <c r="B71" s="10" t="s">
        <v>201</v>
      </c>
      <c r="C71" s="21">
        <v>13.92</v>
      </c>
      <c r="D71" s="12" t="s">
        <v>42</v>
      </c>
      <c r="E71" s="13" t="s">
        <v>202</v>
      </c>
      <c r="F71" s="9" t="s">
        <v>39</v>
      </c>
    </row>
    <row r="72" spans="2:6" ht="30" customHeight="1" x14ac:dyDescent="0.45">
      <c r="B72" s="5" t="s">
        <v>203</v>
      </c>
      <c r="C72" s="14" t="s">
        <v>204</v>
      </c>
      <c r="D72" s="7" t="s">
        <v>42</v>
      </c>
      <c r="E72" s="8" t="s">
        <v>205</v>
      </c>
      <c r="F72" s="17" t="s">
        <v>78</v>
      </c>
    </row>
    <row r="73" spans="2:6" ht="30" customHeight="1" x14ac:dyDescent="0.45">
      <c r="B73" s="10" t="s">
        <v>206</v>
      </c>
      <c r="C73" s="11" t="s">
        <v>207</v>
      </c>
      <c r="D73" s="12" t="s">
        <v>42</v>
      </c>
      <c r="E73" s="13" t="s">
        <v>208</v>
      </c>
      <c r="F73" s="9" t="s">
        <v>39</v>
      </c>
    </row>
  </sheetData>
  <mergeCells count="8">
    <mergeCell ref="B46:F46"/>
    <mergeCell ref="B61:F61"/>
    <mergeCell ref="B67:F67"/>
    <mergeCell ref="B1:F1"/>
    <mergeCell ref="B4:F4"/>
    <mergeCell ref="B14:F14"/>
    <mergeCell ref="B24:F24"/>
    <mergeCell ref="B34:F34"/>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E86AB"/>
  </sheetPr>
  <dimension ref="B1:BC43"/>
  <sheetViews>
    <sheetView showGridLines="0" zoomScaleNormal="100" workbookViewId="0">
      <pane xSplit="2" ySplit="4" topLeftCell="C24" activePane="bottomRight" state="frozen"/>
      <selection pane="topRight" activeCell="C1" sqref="C1"/>
      <selection pane="bottomLeft" activeCell="A5" sqref="A5"/>
      <selection pane="bottomRight" activeCell="C10" sqref="C10"/>
    </sheetView>
  </sheetViews>
  <sheetFormatPr defaultColWidth="8.6640625" defaultRowHeight="14.25" x14ac:dyDescent="0.45"/>
  <cols>
    <col min="1" max="1" width="3" customWidth="1"/>
    <col min="2" max="2" width="42" customWidth="1"/>
    <col min="3" max="7" width="14" customWidth="1"/>
    <col min="8" max="8" width="3" customWidth="1"/>
  </cols>
  <sheetData>
    <row r="1" spans="2:8" ht="25.5" customHeight="1" x14ac:dyDescent="0.45">
      <c r="B1" s="191" t="s">
        <v>209</v>
      </c>
      <c r="C1" s="191"/>
      <c r="D1" s="191"/>
      <c r="E1" s="191"/>
      <c r="F1" s="191"/>
      <c r="G1" s="191"/>
    </row>
    <row r="2" spans="2:8" ht="36" customHeight="1" x14ac:dyDescent="0.45">
      <c r="B2" s="210" t="s">
        <v>210</v>
      </c>
      <c r="C2" s="210"/>
      <c r="D2" s="210"/>
      <c r="E2" s="210"/>
      <c r="F2" s="210"/>
      <c r="G2" s="210"/>
    </row>
    <row r="4" spans="2:8" ht="21.75" customHeight="1" x14ac:dyDescent="0.45">
      <c r="B4" s="4"/>
      <c r="C4" s="4" t="s">
        <v>211</v>
      </c>
      <c r="D4" s="4" t="s">
        <v>212</v>
      </c>
      <c r="E4" s="4" t="s">
        <v>213</v>
      </c>
      <c r="F4" s="4" t="s">
        <v>214</v>
      </c>
      <c r="G4" s="4" t="s">
        <v>215</v>
      </c>
    </row>
    <row r="5" spans="2:8" ht="19.5" customHeight="1" x14ac:dyDescent="0.45">
      <c r="B5" s="193" t="s">
        <v>216</v>
      </c>
      <c r="C5" s="193"/>
      <c r="D5" s="193"/>
      <c r="E5" s="193"/>
      <c r="F5" s="193"/>
      <c r="G5" s="193"/>
      <c r="H5" s="193"/>
    </row>
    <row r="6" spans="2:8" ht="18" customHeight="1" x14ac:dyDescent="0.45">
      <c r="B6" s="22" t="s">
        <v>217</v>
      </c>
      <c r="C6" s="23">
        <v>7115</v>
      </c>
      <c r="D6" s="23">
        <v>8154</v>
      </c>
      <c r="E6" s="23">
        <v>8345</v>
      </c>
      <c r="F6" s="23">
        <v>10281</v>
      </c>
      <c r="G6" s="23">
        <v>10209</v>
      </c>
    </row>
    <row r="7" spans="2:8" ht="18" customHeight="1" x14ac:dyDescent="0.45">
      <c r="B7" s="24" t="s">
        <v>218</v>
      </c>
      <c r="C7" s="25" t="s">
        <v>219</v>
      </c>
      <c r="D7" s="26">
        <f>(D6-C6)/C6</f>
        <v>0.14602951510892481</v>
      </c>
      <c r="E7" s="26">
        <f>(E6-D6)/D6</f>
        <v>2.3424086337993623E-2</v>
      </c>
      <c r="F7" s="26">
        <f>(F6-E6)/E6</f>
        <v>0.23199520671060514</v>
      </c>
      <c r="G7" s="26">
        <f>(G6-F6)/F6</f>
        <v>-7.0032098044937267E-3</v>
      </c>
    </row>
    <row r="8" spans="2:8" ht="18" customHeight="1" x14ac:dyDescent="0.45">
      <c r="B8" s="24" t="s">
        <v>220</v>
      </c>
      <c r="C8" s="25">
        <v>0.25700000000000001</v>
      </c>
      <c r="D8" s="25">
        <v>5.7000000000000002E-2</v>
      </c>
      <c r="E8" s="25">
        <v>5.0999999999999997E-2</v>
      </c>
      <c r="F8" s="25">
        <v>2.4E-2</v>
      </c>
      <c r="G8" s="25">
        <v>1.2999999999999999E-2</v>
      </c>
    </row>
    <row r="9" spans="2:8" ht="18" customHeight="1" x14ac:dyDescent="0.45">
      <c r="B9" s="22" t="s">
        <v>221</v>
      </c>
      <c r="C9" s="23">
        <v>1071</v>
      </c>
      <c r="D9" s="23">
        <v>1262</v>
      </c>
      <c r="E9" s="23">
        <v>1290</v>
      </c>
      <c r="F9" s="23">
        <v>1537</v>
      </c>
      <c r="G9" s="23">
        <v>1490</v>
      </c>
    </row>
    <row r="10" spans="2:8" ht="18" customHeight="1" x14ac:dyDescent="0.45">
      <c r="B10" s="27" t="s">
        <v>222</v>
      </c>
      <c r="C10" s="28">
        <f>C9/C6</f>
        <v>0.15052705551651441</v>
      </c>
      <c r="D10" s="28">
        <f>D9/D6</f>
        <v>0.15477066470443954</v>
      </c>
      <c r="E10" s="28">
        <f>E9/E6</f>
        <v>0.15458358298382266</v>
      </c>
      <c r="F10" s="28">
        <f>F9/F6</f>
        <v>0.14949907596537301</v>
      </c>
      <c r="G10" s="28">
        <f>G9/G6</f>
        <v>0.14594965226760701</v>
      </c>
    </row>
    <row r="11" spans="2:8" ht="18" customHeight="1" x14ac:dyDescent="0.45">
      <c r="B11" s="29" t="s">
        <v>223</v>
      </c>
      <c r="C11" s="30">
        <v>1478</v>
      </c>
      <c r="D11" s="30">
        <v>1750</v>
      </c>
      <c r="E11" s="30">
        <v>1775</v>
      </c>
      <c r="F11" s="30">
        <v>2096</v>
      </c>
      <c r="G11" s="30">
        <v>1485</v>
      </c>
    </row>
    <row r="12" spans="2:8" ht="18" customHeight="1" x14ac:dyDescent="0.45">
      <c r="B12" s="31" t="s">
        <v>224</v>
      </c>
      <c r="C12" s="32">
        <f>C11/C6</f>
        <v>0.20773014757554462</v>
      </c>
      <c r="D12" s="32">
        <f>D11/D6</f>
        <v>0.21461859210203582</v>
      </c>
      <c r="E12" s="32">
        <f>E11/E6</f>
        <v>0.21270221689634511</v>
      </c>
      <c r="F12" s="32">
        <f>F11/F6</f>
        <v>0.2038712187530396</v>
      </c>
      <c r="G12" s="32">
        <f>G11/G6</f>
        <v>0.14545988833382309</v>
      </c>
    </row>
    <row r="13" spans="2:8" ht="18" customHeight="1" x14ac:dyDescent="0.45">
      <c r="B13" s="29" t="s">
        <v>225</v>
      </c>
      <c r="C13" s="33">
        <f>C11-C9</f>
        <v>407</v>
      </c>
      <c r="D13" s="33">
        <f>D11-D9</f>
        <v>488</v>
      </c>
      <c r="E13" s="33">
        <f>E11-E9</f>
        <v>485</v>
      </c>
      <c r="F13" s="33">
        <f>F11-F9</f>
        <v>559</v>
      </c>
      <c r="G13" s="33">
        <f>G11-G9</f>
        <v>-5</v>
      </c>
    </row>
    <row r="14" spans="2:8" ht="18" customHeight="1" x14ac:dyDescent="0.45">
      <c r="B14" s="34" t="s">
        <v>226</v>
      </c>
      <c r="C14" s="35">
        <v>557</v>
      </c>
      <c r="D14" s="35">
        <v>645</v>
      </c>
      <c r="E14" s="35">
        <v>480</v>
      </c>
      <c r="F14" s="35">
        <v>523</v>
      </c>
      <c r="G14" s="35">
        <v>500</v>
      </c>
    </row>
    <row r="15" spans="2:8" ht="18" customHeight="1" x14ac:dyDescent="0.45">
      <c r="B15" s="24" t="s">
        <v>227</v>
      </c>
      <c r="C15" s="36" t="s">
        <v>42</v>
      </c>
      <c r="D15" s="36" t="s">
        <v>42</v>
      </c>
      <c r="E15" s="36">
        <v>733</v>
      </c>
      <c r="F15" s="36">
        <v>807</v>
      </c>
      <c r="G15" s="36" t="s">
        <v>42</v>
      </c>
    </row>
    <row r="16" spans="2:8" ht="18" customHeight="1" x14ac:dyDescent="0.45">
      <c r="B16" s="29" t="s">
        <v>228</v>
      </c>
      <c r="C16" s="37" t="s">
        <v>42</v>
      </c>
      <c r="D16" s="37" t="s">
        <v>42</v>
      </c>
      <c r="E16" s="37">
        <v>10.18</v>
      </c>
      <c r="F16" s="37">
        <v>13.4</v>
      </c>
      <c r="G16" s="37">
        <v>8.4</v>
      </c>
    </row>
    <row r="17" spans="2:8" ht="18" customHeight="1" x14ac:dyDescent="0.45">
      <c r="B17" s="24" t="s">
        <v>229</v>
      </c>
      <c r="C17" s="25" t="s">
        <v>42</v>
      </c>
      <c r="D17" s="25" t="s">
        <v>42</v>
      </c>
      <c r="E17" s="25" t="s">
        <v>42</v>
      </c>
      <c r="F17" s="26">
        <f>(F16-E16)/E16</f>
        <v>0.31630648330058947</v>
      </c>
      <c r="G17" s="26">
        <f>(G16-F16)/F16</f>
        <v>-0.37313432835820892</v>
      </c>
    </row>
    <row r="19" spans="2:8" ht="19.5" customHeight="1" x14ac:dyDescent="0.45">
      <c r="B19" s="193" t="s">
        <v>230</v>
      </c>
      <c r="C19" s="193"/>
      <c r="D19" s="193"/>
      <c r="E19" s="193"/>
      <c r="F19" s="193"/>
      <c r="G19" s="193"/>
      <c r="H19" s="193"/>
    </row>
    <row r="20" spans="2:8" ht="18" customHeight="1" x14ac:dyDescent="0.45">
      <c r="B20" s="22" t="s">
        <v>231</v>
      </c>
      <c r="C20" s="23">
        <v>703</v>
      </c>
      <c r="D20" s="23">
        <v>703</v>
      </c>
      <c r="E20" s="23">
        <v>812</v>
      </c>
      <c r="F20" s="23">
        <v>1084</v>
      </c>
      <c r="G20" s="23">
        <v>901</v>
      </c>
    </row>
    <row r="21" spans="2:8" ht="18" customHeight="1" x14ac:dyDescent="0.45">
      <c r="B21" s="24" t="s">
        <v>232</v>
      </c>
      <c r="C21" s="36">
        <v>703</v>
      </c>
      <c r="D21" s="36">
        <v>703</v>
      </c>
      <c r="E21" s="36">
        <v>812</v>
      </c>
      <c r="F21" s="36">
        <v>1084</v>
      </c>
      <c r="G21" s="36">
        <v>901</v>
      </c>
    </row>
    <row r="22" spans="2:8" ht="18" customHeight="1" x14ac:dyDescent="0.45">
      <c r="B22" s="29" t="s">
        <v>233</v>
      </c>
      <c r="C22" s="38">
        <f>C20/C9</f>
        <v>0.65639589169000934</v>
      </c>
      <c r="D22" s="38">
        <f>D20/D9</f>
        <v>0.55705229793977817</v>
      </c>
      <c r="E22" s="38">
        <f>E20/E9</f>
        <v>0.62945736434108523</v>
      </c>
      <c r="F22" s="38">
        <f>F20/F9</f>
        <v>0.70527000650618088</v>
      </c>
      <c r="G22" s="38">
        <f>G20/G9</f>
        <v>0.60469798657718121</v>
      </c>
    </row>
    <row r="23" spans="2:8" ht="18" customHeight="1" x14ac:dyDescent="0.45">
      <c r="B23" s="24" t="s">
        <v>234</v>
      </c>
      <c r="C23" s="36">
        <v>228</v>
      </c>
      <c r="D23" s="36">
        <v>294</v>
      </c>
      <c r="E23" s="36">
        <v>285</v>
      </c>
      <c r="F23" s="36">
        <v>360</v>
      </c>
      <c r="G23" s="36">
        <v>368</v>
      </c>
    </row>
    <row r="24" spans="2:8" ht="18" customHeight="1" x14ac:dyDescent="0.45">
      <c r="B24" s="29" t="s">
        <v>235</v>
      </c>
      <c r="C24" s="38">
        <f>C23/C6</f>
        <v>3.2044975404075894E-2</v>
      </c>
      <c r="D24" s="38">
        <f>D23/D6</f>
        <v>3.6055923473142015E-2</v>
      </c>
      <c r="E24" s="38">
        <f>E23/E6</f>
        <v>3.4152186938286401E-2</v>
      </c>
      <c r="F24" s="38">
        <f>F23/F6</f>
        <v>3.5016049022468632E-2</v>
      </c>
      <c r="G24" s="38">
        <f>G23/G6</f>
        <v>3.6046625526496227E-2</v>
      </c>
    </row>
    <row r="25" spans="2:8" ht="18" customHeight="1" x14ac:dyDescent="0.45">
      <c r="B25" s="24" t="s">
        <v>236</v>
      </c>
      <c r="C25" s="39" t="s">
        <v>42</v>
      </c>
      <c r="D25" s="40">
        <v>3.85</v>
      </c>
      <c r="E25" s="40">
        <v>3.85</v>
      </c>
      <c r="F25" s="40">
        <v>4.2</v>
      </c>
      <c r="G25" s="40">
        <v>4.5</v>
      </c>
    </row>
    <row r="26" spans="2:8" ht="18" customHeight="1" x14ac:dyDescent="0.45">
      <c r="B26" s="29" t="s">
        <v>237</v>
      </c>
      <c r="C26" s="30" t="s">
        <v>42</v>
      </c>
      <c r="D26" s="30" t="s">
        <v>238</v>
      </c>
      <c r="E26" s="30" t="s">
        <v>239</v>
      </c>
      <c r="F26" s="30" t="s">
        <v>240</v>
      </c>
      <c r="G26" s="30" t="s">
        <v>241</v>
      </c>
    </row>
    <row r="28" spans="2:8" ht="19.5" customHeight="1" x14ac:dyDescent="0.45">
      <c r="B28" s="193" t="s">
        <v>242</v>
      </c>
      <c r="C28" s="193"/>
      <c r="D28" s="193"/>
      <c r="E28" s="193"/>
      <c r="F28" s="193"/>
      <c r="G28" s="193"/>
      <c r="H28" s="193"/>
    </row>
    <row r="29" spans="2:8" ht="18" customHeight="1" x14ac:dyDescent="0.45">
      <c r="B29" s="22" t="s">
        <v>53</v>
      </c>
      <c r="C29" s="23">
        <v>2656</v>
      </c>
      <c r="D29" s="23">
        <v>2609</v>
      </c>
      <c r="E29" s="23">
        <v>4553</v>
      </c>
      <c r="F29" s="23">
        <v>3974</v>
      </c>
      <c r="G29" s="23">
        <v>3974</v>
      </c>
    </row>
    <row r="30" spans="2:8" ht="18" customHeight="1" x14ac:dyDescent="0.45">
      <c r="B30" s="24" t="s">
        <v>243</v>
      </c>
      <c r="C30" s="41">
        <f>C29/C9</f>
        <v>2.4799253034547153</v>
      </c>
      <c r="D30" s="41">
        <f>D29/D9</f>
        <v>2.0673534072900157</v>
      </c>
      <c r="E30" s="41">
        <f>E29/E9</f>
        <v>3.5294573643410851</v>
      </c>
      <c r="F30" s="41">
        <f>F29/F9</f>
        <v>2.5855562784645412</v>
      </c>
      <c r="G30" s="41">
        <f>G29/G9</f>
        <v>2.6671140939597318</v>
      </c>
    </row>
    <row r="31" spans="2:8" ht="18" customHeight="1" x14ac:dyDescent="0.45">
      <c r="B31" s="42" t="s">
        <v>244</v>
      </c>
      <c r="C31" s="43">
        <v>1.8</v>
      </c>
      <c r="D31" s="43">
        <v>1.5</v>
      </c>
      <c r="E31" s="43">
        <v>2.56</v>
      </c>
      <c r="F31" s="43">
        <v>1.9</v>
      </c>
      <c r="G31" s="43" t="s">
        <v>245</v>
      </c>
    </row>
    <row r="32" spans="2:8" ht="18" customHeight="1" x14ac:dyDescent="0.45">
      <c r="B32" s="24" t="s">
        <v>246</v>
      </c>
      <c r="C32" s="36">
        <v>2851</v>
      </c>
      <c r="D32" s="36">
        <v>3050</v>
      </c>
      <c r="E32" s="36">
        <v>2910</v>
      </c>
      <c r="F32" s="36">
        <v>3300</v>
      </c>
      <c r="G32" s="36">
        <v>3250</v>
      </c>
    </row>
    <row r="33" spans="2:55" ht="27.75" customHeight="1" x14ac:dyDescent="0.45">
      <c r="B33" s="208" t="s">
        <v>247</v>
      </c>
      <c r="C33" s="208"/>
      <c r="D33" s="208"/>
      <c r="E33" s="208"/>
      <c r="F33" s="208"/>
      <c r="G33" s="208"/>
      <c r="H33" s="44"/>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row>
    <row r="35" spans="2:55" ht="19.5" customHeight="1" x14ac:dyDescent="0.45">
      <c r="B35" s="193" t="s">
        <v>248</v>
      </c>
      <c r="C35" s="193"/>
      <c r="D35" s="193"/>
      <c r="E35" s="193"/>
      <c r="F35" s="193"/>
      <c r="G35" s="193"/>
      <c r="H35" s="193"/>
    </row>
    <row r="36" spans="2:55" ht="18" customHeight="1" x14ac:dyDescent="0.45">
      <c r="B36" s="22" t="s">
        <v>249</v>
      </c>
      <c r="C36" s="45">
        <f>C9*(1-0.24)/(C32+C29)</f>
        <v>0.14780461231160341</v>
      </c>
      <c r="D36" s="45">
        <f>D9*(1-0.24)/(D32+D29)</f>
        <v>0.16948577487188549</v>
      </c>
      <c r="E36" s="45">
        <f>E9*(1-0.24)/(E32+E29)</f>
        <v>0.13136808254053328</v>
      </c>
      <c r="F36" s="45">
        <f>F9*(1-0.24)/(F32+F29)</f>
        <v>0.16058839703051966</v>
      </c>
      <c r="G36" s="45">
        <f>G9*(1-0.24)/(G32+G29)</f>
        <v>0.15675526024363234</v>
      </c>
    </row>
    <row r="37" spans="2:55" ht="18" customHeight="1" x14ac:dyDescent="0.45">
      <c r="B37" s="24" t="s">
        <v>250</v>
      </c>
      <c r="C37" s="25">
        <v>7.0000000000000007E-2</v>
      </c>
      <c r="D37" s="25">
        <v>7.0000000000000007E-2</v>
      </c>
      <c r="E37" s="25">
        <v>7.0000000000000007E-2</v>
      </c>
      <c r="F37" s="25">
        <v>6.7000000000000004E-2</v>
      </c>
      <c r="G37" s="25">
        <v>6.7000000000000004E-2</v>
      </c>
    </row>
    <row r="38" spans="2:55" ht="18" customHeight="1" x14ac:dyDescent="0.45">
      <c r="B38" s="29" t="s">
        <v>251</v>
      </c>
      <c r="C38" s="38">
        <f>C36-C37</f>
        <v>7.7804612311603405E-2</v>
      </c>
      <c r="D38" s="38">
        <f>D36-D37</f>
        <v>9.948577487188548E-2</v>
      </c>
      <c r="E38" s="38">
        <f>E36-E37</f>
        <v>6.1368082540533275E-2</v>
      </c>
      <c r="F38" s="38">
        <f>F36-F37</f>
        <v>9.358839703051966E-2</v>
      </c>
      <c r="G38" s="38">
        <f>G36-G37</f>
        <v>8.975526024363234E-2</v>
      </c>
    </row>
    <row r="39" spans="2:55" ht="18" customHeight="1" x14ac:dyDescent="0.45">
      <c r="B39" s="24" t="s">
        <v>252</v>
      </c>
      <c r="C39" s="46">
        <v>23</v>
      </c>
      <c r="D39" s="46">
        <v>14</v>
      </c>
      <c r="E39" s="46">
        <v>11.5</v>
      </c>
      <c r="F39" s="46">
        <v>9.5</v>
      </c>
      <c r="G39" s="46">
        <v>5.3</v>
      </c>
    </row>
    <row r="40" spans="2:55" ht="18" customHeight="1" x14ac:dyDescent="0.45">
      <c r="B40" s="22" t="s">
        <v>253</v>
      </c>
      <c r="C40" s="47" t="s">
        <v>42</v>
      </c>
      <c r="D40" s="47" t="s">
        <v>42</v>
      </c>
      <c r="E40" s="47" t="s">
        <v>42</v>
      </c>
      <c r="F40" s="47" t="s">
        <v>42</v>
      </c>
      <c r="G40" s="47">
        <v>5.3</v>
      </c>
    </row>
    <row r="41" spans="2:55" ht="18" customHeight="1" x14ac:dyDescent="0.45">
      <c r="B41" s="48" t="s">
        <v>254</v>
      </c>
      <c r="C41" s="25" t="s">
        <v>42</v>
      </c>
      <c r="D41" s="25" t="s">
        <v>42</v>
      </c>
      <c r="E41" s="25" t="s">
        <v>42</v>
      </c>
      <c r="F41" s="25" t="s">
        <v>255</v>
      </c>
      <c r="G41" s="25">
        <v>6.4000000000000001E-2</v>
      </c>
    </row>
    <row r="43" spans="2:55" ht="36" customHeight="1" x14ac:dyDescent="0.45">
      <c r="B43" s="209" t="s">
        <v>256</v>
      </c>
      <c r="C43" s="209"/>
      <c r="D43" s="209"/>
      <c r="E43" s="209"/>
      <c r="F43" s="209"/>
      <c r="G43" s="209"/>
    </row>
  </sheetData>
  <mergeCells count="8">
    <mergeCell ref="B33:G33"/>
    <mergeCell ref="B35:H35"/>
    <mergeCell ref="B43:G43"/>
    <mergeCell ref="B1:G1"/>
    <mergeCell ref="B2:G2"/>
    <mergeCell ref="B5:H5"/>
    <mergeCell ref="B19:H19"/>
    <mergeCell ref="B28:H28"/>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67E22"/>
  </sheetPr>
  <dimension ref="B1:F17"/>
  <sheetViews>
    <sheetView showGridLines="0" zoomScaleNormal="100" workbookViewId="0">
      <pane xSplit="2" ySplit="4" topLeftCell="C5" activePane="bottomRight" state="frozen"/>
      <selection pane="topRight" activeCell="C1" sqref="C1"/>
      <selection pane="bottomLeft" activeCell="A5" sqref="A5"/>
      <selection pane="bottomRight" activeCell="B15" sqref="B15:F15"/>
    </sheetView>
  </sheetViews>
  <sheetFormatPr defaultColWidth="8.6640625" defaultRowHeight="14.25" x14ac:dyDescent="0.45"/>
  <cols>
    <col min="1" max="1" width="3" customWidth="1"/>
    <col min="2" max="2" width="52" customWidth="1"/>
    <col min="3" max="3" width="16" customWidth="1"/>
    <col min="4" max="5" width="18" customWidth="1"/>
    <col min="6" max="6" width="52" customWidth="1"/>
    <col min="7" max="7" width="3" customWidth="1"/>
  </cols>
  <sheetData>
    <row r="1" spans="2:6" ht="25.5" customHeight="1" x14ac:dyDescent="0.45">
      <c r="B1" s="191" t="s">
        <v>257</v>
      </c>
      <c r="C1" s="191"/>
      <c r="D1" s="191"/>
      <c r="E1" s="191"/>
      <c r="F1" s="191"/>
    </row>
    <row r="3" spans="2:6" ht="21.75" customHeight="1" x14ac:dyDescent="0.45">
      <c r="B3" s="49" t="s">
        <v>258</v>
      </c>
      <c r="C3" s="49" t="s">
        <v>259</v>
      </c>
      <c r="D3" s="49" t="s">
        <v>260</v>
      </c>
      <c r="E3" s="49" t="s">
        <v>34</v>
      </c>
      <c r="F3" s="49" t="s">
        <v>261</v>
      </c>
    </row>
    <row r="4" spans="2:6" ht="31.5" customHeight="1" x14ac:dyDescent="0.45">
      <c r="B4" s="50" t="s">
        <v>262</v>
      </c>
      <c r="C4" s="51">
        <v>10281</v>
      </c>
      <c r="D4" s="52">
        <v>1</v>
      </c>
      <c r="E4" s="9" t="s">
        <v>39</v>
      </c>
      <c r="F4" s="53" t="s">
        <v>68</v>
      </c>
    </row>
    <row r="5" spans="2:6" ht="31.5" customHeight="1" x14ac:dyDescent="0.45">
      <c r="B5" s="54" t="s">
        <v>263</v>
      </c>
      <c r="C5" s="55">
        <v>196</v>
      </c>
      <c r="D5" s="56">
        <v>1.9E-2</v>
      </c>
      <c r="E5" s="9" t="s">
        <v>39</v>
      </c>
      <c r="F5" s="57" t="s">
        <v>264</v>
      </c>
    </row>
    <row r="6" spans="2:6" ht="31.5" customHeight="1" x14ac:dyDescent="0.45">
      <c r="B6" s="54" t="s">
        <v>265</v>
      </c>
      <c r="C6" s="55">
        <v>25</v>
      </c>
      <c r="D6" s="56">
        <v>2E-3</v>
      </c>
      <c r="E6" s="17" t="s">
        <v>78</v>
      </c>
      <c r="F6" s="57" t="s">
        <v>266</v>
      </c>
    </row>
    <row r="7" spans="2:6" ht="31.5" customHeight="1" x14ac:dyDescent="0.45">
      <c r="B7" s="58" t="s">
        <v>267</v>
      </c>
      <c r="C7" s="59">
        <v>-200</v>
      </c>
      <c r="D7" s="60">
        <v>1.9E-2</v>
      </c>
      <c r="E7" s="9" t="s">
        <v>39</v>
      </c>
      <c r="F7" s="61" t="s">
        <v>268</v>
      </c>
    </row>
    <row r="8" spans="2:6" ht="31.5" customHeight="1" x14ac:dyDescent="0.45">
      <c r="B8" s="58" t="s">
        <v>269</v>
      </c>
      <c r="C8" s="59">
        <v>-110</v>
      </c>
      <c r="D8" s="60">
        <v>1.0999999999999999E-2</v>
      </c>
      <c r="E8" s="17" t="s">
        <v>78</v>
      </c>
      <c r="F8" s="61" t="s">
        <v>270</v>
      </c>
    </row>
    <row r="9" spans="2:6" ht="31.5" customHeight="1" x14ac:dyDescent="0.45">
      <c r="B9" s="54" t="s">
        <v>271</v>
      </c>
      <c r="C9" s="55">
        <v>220</v>
      </c>
      <c r="D9" s="56">
        <v>2.1000000000000001E-2</v>
      </c>
      <c r="E9" s="9" t="s">
        <v>39</v>
      </c>
      <c r="F9" s="57" t="s">
        <v>272</v>
      </c>
    </row>
    <row r="10" spans="2:6" ht="31.5" customHeight="1" x14ac:dyDescent="0.45">
      <c r="B10" s="62" t="s">
        <v>273</v>
      </c>
      <c r="C10" s="63">
        <v>-362</v>
      </c>
      <c r="D10" s="64">
        <v>3.5000000000000003E-2</v>
      </c>
      <c r="E10" s="9" t="s">
        <v>39</v>
      </c>
      <c r="F10" s="1" t="s">
        <v>274</v>
      </c>
    </row>
    <row r="11" spans="2:6" ht="31.5" customHeight="1" x14ac:dyDescent="0.45">
      <c r="B11" s="62" t="s">
        <v>275</v>
      </c>
      <c r="C11" s="63">
        <v>-39</v>
      </c>
      <c r="D11" s="64">
        <v>4.0000000000000001E-3</v>
      </c>
      <c r="E11" s="17" t="s">
        <v>78</v>
      </c>
      <c r="F11" s="1" t="s">
        <v>276</v>
      </c>
    </row>
    <row r="12" spans="2:6" ht="31.5" customHeight="1" x14ac:dyDescent="0.45">
      <c r="B12" s="50" t="s">
        <v>277</v>
      </c>
      <c r="C12" s="51">
        <v>10209</v>
      </c>
      <c r="D12" s="52">
        <v>0.99299999999999999</v>
      </c>
      <c r="E12" s="9" t="s">
        <v>39</v>
      </c>
      <c r="F12" s="53" t="s">
        <v>278</v>
      </c>
    </row>
    <row r="15" spans="2:6" ht="19.5" customHeight="1" x14ac:dyDescent="0.45">
      <c r="B15" s="211" t="s">
        <v>279</v>
      </c>
      <c r="C15" s="211"/>
      <c r="D15" s="211"/>
      <c r="E15" s="211"/>
      <c r="F15" s="211"/>
    </row>
    <row r="17" spans="2:6" ht="51.75" customHeight="1" x14ac:dyDescent="0.45">
      <c r="B17" s="212" t="s">
        <v>280</v>
      </c>
      <c r="C17" s="212"/>
      <c r="D17" s="212"/>
      <c r="E17" s="212"/>
      <c r="F17" s="212"/>
    </row>
  </sheetData>
  <mergeCells count="3">
    <mergeCell ref="B1:F1"/>
    <mergeCell ref="B15:F15"/>
    <mergeCell ref="B17:F17"/>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B0000"/>
  </sheetPr>
  <dimension ref="B1:E41"/>
  <sheetViews>
    <sheetView showGridLines="0" zoomScaleNormal="100" workbookViewId="0">
      <pane xSplit="2" ySplit="4" topLeftCell="C32" activePane="bottomRight" state="frozen"/>
      <selection pane="topRight" activeCell="C1" sqref="C1"/>
      <selection pane="bottomLeft" activeCell="A5" sqref="A5"/>
      <selection pane="bottomRight"/>
    </sheetView>
  </sheetViews>
  <sheetFormatPr defaultColWidth="8.6640625" defaultRowHeight="14.25" x14ac:dyDescent="0.45"/>
  <cols>
    <col min="1" max="1" width="3" customWidth="1"/>
    <col min="2" max="2" width="44" customWidth="1"/>
    <col min="3" max="3" width="55.46484375" customWidth="1"/>
    <col min="4" max="4" width="58" customWidth="1"/>
    <col min="5" max="5" width="93.796875" customWidth="1"/>
    <col min="6" max="6" width="3" customWidth="1"/>
  </cols>
  <sheetData>
    <row r="1" spans="2:5" ht="25.5" customHeight="1" x14ac:dyDescent="0.45">
      <c r="B1" s="191" t="s">
        <v>281</v>
      </c>
      <c r="C1" s="191"/>
      <c r="D1" s="191"/>
      <c r="E1" s="191"/>
    </row>
    <row r="2" spans="2:5" ht="27.75" customHeight="1" x14ac:dyDescent="0.45">
      <c r="B2" s="192" t="s">
        <v>282</v>
      </c>
      <c r="C2" s="192"/>
      <c r="D2" s="192"/>
      <c r="E2" s="192"/>
    </row>
    <row r="4" spans="2:5" ht="31.5" customHeight="1" x14ac:dyDescent="0.45">
      <c r="B4" s="65" t="s">
        <v>283</v>
      </c>
      <c r="C4" s="66" t="s">
        <v>284</v>
      </c>
      <c r="D4" s="67" t="s">
        <v>285</v>
      </c>
      <c r="E4" s="68" t="s">
        <v>286</v>
      </c>
    </row>
    <row r="5" spans="2:5" ht="19.5" customHeight="1" x14ac:dyDescent="0.45">
      <c r="B5" s="193" t="s">
        <v>287</v>
      </c>
      <c r="C5" s="193"/>
      <c r="D5" s="193"/>
      <c r="E5" s="193"/>
    </row>
    <row r="6" spans="2:5" ht="21.75" customHeight="1" x14ac:dyDescent="0.45">
      <c r="B6" s="5" t="s">
        <v>288</v>
      </c>
      <c r="C6" s="69" t="s">
        <v>289</v>
      </c>
      <c r="D6" s="69" t="s">
        <v>290</v>
      </c>
      <c r="E6" s="69" t="s">
        <v>291</v>
      </c>
    </row>
    <row r="7" spans="2:5" ht="21.75" customHeight="1" x14ac:dyDescent="0.45">
      <c r="B7" s="10" t="s">
        <v>292</v>
      </c>
      <c r="C7" s="70" t="s">
        <v>293</v>
      </c>
      <c r="D7" s="70" t="s">
        <v>294</v>
      </c>
      <c r="E7" s="70" t="s">
        <v>295</v>
      </c>
    </row>
    <row r="8" spans="2:5" ht="21.75" customHeight="1" x14ac:dyDescent="0.45">
      <c r="B8" s="5" t="s">
        <v>296</v>
      </c>
      <c r="C8" s="69" t="s">
        <v>297</v>
      </c>
      <c r="D8" s="69" t="s">
        <v>298</v>
      </c>
      <c r="E8" s="69" t="s">
        <v>299</v>
      </c>
    </row>
    <row r="10" spans="2:5" ht="19.5" customHeight="1" x14ac:dyDescent="0.45">
      <c r="B10" s="193" t="s">
        <v>300</v>
      </c>
      <c r="C10" s="193"/>
      <c r="D10" s="193"/>
      <c r="E10" s="193"/>
    </row>
    <row r="11" spans="2:5" ht="21.75" customHeight="1" x14ac:dyDescent="0.45">
      <c r="B11" s="5" t="s">
        <v>301</v>
      </c>
      <c r="C11" s="71">
        <v>10209</v>
      </c>
      <c r="D11" s="71">
        <v>10209</v>
      </c>
      <c r="E11" s="71">
        <v>10209</v>
      </c>
    </row>
    <row r="12" spans="2:5" ht="21.75" customHeight="1" x14ac:dyDescent="0.45">
      <c r="B12" s="10" t="s">
        <v>302</v>
      </c>
      <c r="C12" s="72">
        <v>-0.04</v>
      </c>
      <c r="D12" s="72">
        <v>2.5000000000000001E-2</v>
      </c>
      <c r="E12" s="72">
        <v>7.0000000000000007E-2</v>
      </c>
    </row>
    <row r="13" spans="2:5" ht="21.75" customHeight="1" x14ac:dyDescent="0.45">
      <c r="B13" s="5" t="s">
        <v>303</v>
      </c>
      <c r="C13" s="73">
        <f>C11*(1+C12)^5</f>
        <v>8324.1398697984005</v>
      </c>
      <c r="D13" s="73">
        <f>D11*(1+D12)^5</f>
        <v>11550.546445400387</v>
      </c>
      <c r="E13" s="73">
        <f>E11*(1+E12)^5</f>
        <v>14318.650618716301</v>
      </c>
    </row>
    <row r="15" spans="2:5" ht="19.5" customHeight="1" x14ac:dyDescent="0.45">
      <c r="B15" s="193" t="s">
        <v>88</v>
      </c>
      <c r="C15" s="193"/>
      <c r="D15" s="193"/>
      <c r="E15" s="193"/>
    </row>
    <row r="16" spans="2:5" ht="21.75" customHeight="1" x14ac:dyDescent="0.45">
      <c r="B16" s="5" t="s">
        <v>304</v>
      </c>
      <c r="C16" s="74">
        <v>0.14599999999999999</v>
      </c>
      <c r="D16" s="74">
        <v>0.14599999999999999</v>
      </c>
      <c r="E16" s="74">
        <v>0.14599999999999999</v>
      </c>
    </row>
    <row r="17" spans="2:5" ht="21.75" customHeight="1" x14ac:dyDescent="0.45">
      <c r="B17" s="10" t="s">
        <v>305</v>
      </c>
      <c r="C17" s="72">
        <v>0.1</v>
      </c>
      <c r="D17" s="72">
        <v>0.13500000000000001</v>
      </c>
      <c r="E17" s="72">
        <v>0.16500000000000001</v>
      </c>
    </row>
    <row r="18" spans="2:5" ht="21.75" customHeight="1" x14ac:dyDescent="0.45">
      <c r="B18" s="5" t="s">
        <v>306</v>
      </c>
      <c r="C18" s="73">
        <f>C13*C17</f>
        <v>832.41398697984005</v>
      </c>
      <c r="D18" s="73">
        <f>D13*D17</f>
        <v>1559.3237701290523</v>
      </c>
      <c r="E18" s="73">
        <f>E13*E17</f>
        <v>2362.5773520881899</v>
      </c>
    </row>
    <row r="20" spans="2:5" ht="19.5" customHeight="1" x14ac:dyDescent="0.45">
      <c r="B20" s="193" t="s">
        <v>307</v>
      </c>
      <c r="C20" s="193"/>
      <c r="D20" s="193"/>
      <c r="E20" s="193"/>
    </row>
    <row r="21" spans="2:5" ht="21.75" customHeight="1" x14ac:dyDescent="0.45">
      <c r="B21" s="10" t="s">
        <v>308</v>
      </c>
      <c r="C21" s="75">
        <v>5.5</v>
      </c>
      <c r="D21" s="75">
        <v>9</v>
      </c>
      <c r="E21" s="75">
        <v>13</v>
      </c>
    </row>
    <row r="22" spans="2:5" ht="21.75" customHeight="1" x14ac:dyDescent="0.45">
      <c r="B22" s="5" t="s">
        <v>309</v>
      </c>
      <c r="C22" s="69" t="s">
        <v>310</v>
      </c>
      <c r="D22" s="69" t="s">
        <v>311</v>
      </c>
      <c r="E22" s="69" t="s">
        <v>312</v>
      </c>
    </row>
    <row r="24" spans="2:5" ht="19.5" customHeight="1" x14ac:dyDescent="0.45">
      <c r="B24" s="193" t="s">
        <v>313</v>
      </c>
      <c r="C24" s="193"/>
      <c r="D24" s="193"/>
      <c r="E24" s="193"/>
    </row>
    <row r="25" spans="2:5" ht="21.75" customHeight="1" x14ac:dyDescent="0.45">
      <c r="B25" s="76" t="s">
        <v>314</v>
      </c>
      <c r="C25" s="77">
        <f>C18*C21</f>
        <v>4578.2769283891203</v>
      </c>
      <c r="D25" s="78">
        <f>D18*D21</f>
        <v>14033.913931161471</v>
      </c>
      <c r="E25" s="79">
        <f>E18*E21</f>
        <v>30713.505577146469</v>
      </c>
    </row>
    <row r="26" spans="2:5" ht="21.75" customHeight="1" x14ac:dyDescent="0.45">
      <c r="B26" s="10" t="s">
        <v>315</v>
      </c>
      <c r="C26" s="80">
        <v>-2800</v>
      </c>
      <c r="D26" s="80">
        <v>-1800</v>
      </c>
      <c r="E26" s="80">
        <v>-1200</v>
      </c>
    </row>
    <row r="27" spans="2:5" ht="21.75" customHeight="1" x14ac:dyDescent="0.45">
      <c r="B27" s="76" t="s">
        <v>316</v>
      </c>
      <c r="C27" s="77">
        <f>C25+C26</f>
        <v>1778.2769283891203</v>
      </c>
      <c r="D27" s="78">
        <f>D25+D26</f>
        <v>12233.913931161471</v>
      </c>
      <c r="E27" s="79">
        <f>E25+E26</f>
        <v>29513.505577146469</v>
      </c>
    </row>
    <row r="28" spans="2:5" ht="21.75" customHeight="1" x14ac:dyDescent="0.45">
      <c r="B28" s="10" t="s">
        <v>317</v>
      </c>
      <c r="C28" s="70">
        <v>58.14</v>
      </c>
      <c r="D28" s="70">
        <v>58.14</v>
      </c>
      <c r="E28" s="70">
        <v>58.14</v>
      </c>
    </row>
    <row r="29" spans="2:5" ht="21.75" customHeight="1" x14ac:dyDescent="0.45">
      <c r="B29" s="76" t="s">
        <v>318</v>
      </c>
      <c r="C29" s="81">
        <f>C27/C28</f>
        <v>30.586118479345032</v>
      </c>
      <c r="D29" s="82">
        <f>D27/D28</f>
        <v>210.42163624288736</v>
      </c>
      <c r="E29" s="83">
        <f>E27/E28</f>
        <v>507.62823490104006</v>
      </c>
    </row>
    <row r="30" spans="2:5" ht="21.75" customHeight="1" x14ac:dyDescent="0.45">
      <c r="B30" s="10" t="s">
        <v>319</v>
      </c>
      <c r="C30" s="84">
        <v>66.540000000000006</v>
      </c>
      <c r="D30" s="84">
        <v>66.540000000000006</v>
      </c>
      <c r="E30" s="84">
        <v>66.540000000000006</v>
      </c>
    </row>
    <row r="31" spans="2:5" ht="21.75" customHeight="1" x14ac:dyDescent="0.45">
      <c r="B31" s="76" t="s">
        <v>320</v>
      </c>
      <c r="C31" s="85">
        <f>(C29-C30)/C30</f>
        <v>-0.5403348590420044</v>
      </c>
      <c r="D31" s="86">
        <f>(D29-D30)/D30</f>
        <v>2.1623329762982766</v>
      </c>
      <c r="E31" s="87">
        <f>(E29-E30)/E30</f>
        <v>6.628918468605951</v>
      </c>
    </row>
    <row r="33" spans="2:5" ht="19.5" customHeight="1" x14ac:dyDescent="0.45">
      <c r="B33" s="193" t="s">
        <v>321</v>
      </c>
      <c r="C33" s="193"/>
      <c r="D33" s="193"/>
      <c r="E33" s="193"/>
    </row>
    <row r="34" spans="2:5" ht="21.75" customHeight="1" x14ac:dyDescent="0.45">
      <c r="B34" s="10" t="s">
        <v>322</v>
      </c>
      <c r="C34" s="72">
        <v>0.15</v>
      </c>
      <c r="D34" s="72">
        <v>0.6</v>
      </c>
      <c r="E34" s="72">
        <v>0.25</v>
      </c>
    </row>
    <row r="35" spans="2:5" ht="21.75" customHeight="1" x14ac:dyDescent="0.45">
      <c r="B35" s="5" t="s">
        <v>323</v>
      </c>
      <c r="C35" s="73">
        <f>C27*C34</f>
        <v>266.74153925836805</v>
      </c>
      <c r="D35" s="73">
        <f>D27*D34</f>
        <v>7340.3483586968823</v>
      </c>
      <c r="E35" s="73">
        <f>E27*E34</f>
        <v>7378.3763942866171</v>
      </c>
    </row>
    <row r="37" spans="2:5" ht="31.5" customHeight="1" x14ac:dyDescent="0.45">
      <c r="B37" s="88" t="s">
        <v>324</v>
      </c>
      <c r="C37" s="196">
        <f>C35+D35+E35</f>
        <v>14985.466292241868</v>
      </c>
      <c r="D37" s="196"/>
      <c r="E37" s="196"/>
    </row>
    <row r="38" spans="2:5" ht="31.5" customHeight="1" x14ac:dyDescent="0.45">
      <c r="B38" s="88" t="s">
        <v>325</v>
      </c>
      <c r="C38" s="197">
        <f>C37/58.14</f>
        <v>257.74795824289419</v>
      </c>
      <c r="D38" s="197"/>
      <c r="E38" s="197"/>
    </row>
    <row r="39" spans="2:5" ht="27.75" customHeight="1" x14ac:dyDescent="0.45">
      <c r="B39" s="88" t="s">
        <v>326</v>
      </c>
      <c r="C39" s="194">
        <f>(C38-66.54)/66.54</f>
        <v>2.8735791740741532</v>
      </c>
      <c r="D39" s="194"/>
      <c r="E39" s="194"/>
    </row>
    <row r="41" spans="2:5" ht="99.75" customHeight="1" x14ac:dyDescent="0.45">
      <c r="B41" s="195" t="s">
        <v>327</v>
      </c>
      <c r="C41" s="195"/>
      <c r="D41" s="195"/>
      <c r="E41" s="195"/>
    </row>
  </sheetData>
  <mergeCells count="12">
    <mergeCell ref="C39:E39"/>
    <mergeCell ref="B41:E41"/>
    <mergeCell ref="B20:E20"/>
    <mergeCell ref="B24:E24"/>
    <mergeCell ref="B33:E33"/>
    <mergeCell ref="C37:E37"/>
    <mergeCell ref="C38:E38"/>
    <mergeCell ref="B1:E1"/>
    <mergeCell ref="B2:E2"/>
    <mergeCell ref="B5:E5"/>
    <mergeCell ref="B10:E10"/>
    <mergeCell ref="B15:E15"/>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7AE60"/>
  </sheetPr>
  <dimension ref="B1:I72"/>
  <sheetViews>
    <sheetView showGridLines="0" zoomScaleNormal="100" workbookViewId="0">
      <pane xSplit="2" ySplit="5" topLeftCell="C6" activePane="bottomRight" state="frozen"/>
      <selection pane="topRight" activeCell="C1" sqref="C1"/>
      <selection pane="bottomLeft" activeCell="A6" sqref="A6"/>
      <selection pane="bottomRight" activeCell="I73" sqref="I73"/>
    </sheetView>
  </sheetViews>
  <sheetFormatPr defaultColWidth="8.6640625" defaultRowHeight="14.25" x14ac:dyDescent="0.45"/>
  <cols>
    <col min="1" max="1" width="3" customWidth="1"/>
    <col min="2" max="2" width="38" customWidth="1"/>
    <col min="3" max="3" width="15.6640625" customWidth="1"/>
    <col min="4" max="9" width="13" customWidth="1"/>
    <col min="10" max="10" width="3" customWidth="1"/>
  </cols>
  <sheetData>
    <row r="1" spans="2:9" ht="25.5" customHeight="1" x14ac:dyDescent="0.45">
      <c r="B1" s="191" t="s">
        <v>328</v>
      </c>
      <c r="C1" s="191"/>
      <c r="D1" s="191"/>
      <c r="E1" s="191"/>
      <c r="F1" s="191"/>
      <c r="G1" s="191"/>
      <c r="H1" s="191"/>
      <c r="I1" s="191"/>
    </row>
    <row r="5" spans="2:9" ht="21.75" customHeight="1" x14ac:dyDescent="0.45">
      <c r="B5" s="4"/>
      <c r="C5" s="4" t="s">
        <v>215</v>
      </c>
      <c r="D5" s="4" t="s">
        <v>329</v>
      </c>
      <c r="E5" s="4" t="s">
        <v>330</v>
      </c>
      <c r="F5" s="4" t="s">
        <v>331</v>
      </c>
      <c r="G5" s="4" t="s">
        <v>332</v>
      </c>
      <c r="H5" s="4" t="s">
        <v>333</v>
      </c>
    </row>
    <row r="6" spans="2:9" ht="19.5" customHeight="1" x14ac:dyDescent="0.45">
      <c r="B6" s="193" t="s">
        <v>334</v>
      </c>
      <c r="C6" s="193"/>
      <c r="D6" s="193"/>
      <c r="E6" s="193"/>
      <c r="F6" s="193"/>
      <c r="G6" s="193"/>
      <c r="H6" s="193"/>
      <c r="I6" s="193"/>
    </row>
    <row r="7" spans="2:9" ht="18" customHeight="1" x14ac:dyDescent="0.45">
      <c r="B7" s="22" t="s">
        <v>217</v>
      </c>
      <c r="C7" s="23">
        <v>10209</v>
      </c>
      <c r="D7" s="23">
        <f>C7*1.025</f>
        <v>10464.224999999999</v>
      </c>
      <c r="E7" s="23">
        <f>D7*1.025</f>
        <v>10725.830624999997</v>
      </c>
      <c r="F7" s="23">
        <f>E7*1.025</f>
        <v>10993.976390624995</v>
      </c>
      <c r="G7" s="23">
        <f>F7*1.025</f>
        <v>11268.825800390619</v>
      </c>
      <c r="H7" s="23">
        <f>G7*1.025</f>
        <v>11550.546445400383</v>
      </c>
    </row>
    <row r="8" spans="2:9" ht="18" customHeight="1" x14ac:dyDescent="0.45">
      <c r="B8" s="24" t="s">
        <v>335</v>
      </c>
      <c r="C8" s="25">
        <v>0.14599999999999999</v>
      </c>
      <c r="D8" s="25">
        <v>0.14699999999999999</v>
      </c>
      <c r="E8" s="25">
        <v>0.13900000000000001</v>
      </c>
      <c r="F8" s="25">
        <v>0.14000000000000001</v>
      </c>
      <c r="G8" s="25">
        <v>0.14000000000000001</v>
      </c>
      <c r="H8" s="25">
        <v>0.14000000000000001</v>
      </c>
    </row>
    <row r="9" spans="2:9" ht="18" customHeight="1" x14ac:dyDescent="0.45">
      <c r="B9" s="22" t="s">
        <v>336</v>
      </c>
      <c r="C9" s="23">
        <f t="shared" ref="C9:H9" si="0">C7*C8</f>
        <v>1490.5139999999999</v>
      </c>
      <c r="D9" s="23">
        <f t="shared" si="0"/>
        <v>1538.2410749999997</v>
      </c>
      <c r="E9" s="23">
        <f t="shared" si="0"/>
        <v>1490.8904568749997</v>
      </c>
      <c r="F9" s="23">
        <f t="shared" si="0"/>
        <v>1539.1566946874996</v>
      </c>
      <c r="G9" s="23">
        <f t="shared" si="0"/>
        <v>1577.6356120546868</v>
      </c>
      <c r="H9" s="23">
        <f t="shared" si="0"/>
        <v>1617.0765023560539</v>
      </c>
    </row>
    <row r="10" spans="2:9" ht="18" customHeight="1" x14ac:dyDescent="0.45">
      <c r="B10" s="24" t="s">
        <v>337</v>
      </c>
      <c r="C10" s="89">
        <f t="shared" ref="C10:H10" si="1">C7*0.045</f>
        <v>459.40499999999997</v>
      </c>
      <c r="D10" s="89">
        <f t="shared" si="1"/>
        <v>470.8901249999999</v>
      </c>
      <c r="E10" s="89">
        <f t="shared" si="1"/>
        <v>482.66237812499986</v>
      </c>
      <c r="F10" s="89">
        <f t="shared" si="1"/>
        <v>494.72893757812477</v>
      </c>
      <c r="G10" s="89">
        <f t="shared" si="1"/>
        <v>507.09716101757783</v>
      </c>
      <c r="H10" s="89">
        <f t="shared" si="1"/>
        <v>519.77459004301727</v>
      </c>
    </row>
    <row r="11" spans="2:9" ht="18" customHeight="1" x14ac:dyDescent="0.45">
      <c r="B11" s="29" t="s">
        <v>338</v>
      </c>
      <c r="C11" s="33">
        <f t="shared" ref="C11:H11" si="2">C9+C10</f>
        <v>1949.9189999999999</v>
      </c>
      <c r="D11" s="33">
        <f t="shared" si="2"/>
        <v>2009.1311999999996</v>
      </c>
      <c r="E11" s="33">
        <f t="shared" si="2"/>
        <v>1973.5528349999995</v>
      </c>
      <c r="F11" s="33">
        <f t="shared" si="2"/>
        <v>2033.8856322656243</v>
      </c>
      <c r="G11" s="33">
        <f t="shared" si="2"/>
        <v>2084.7327730722645</v>
      </c>
      <c r="H11" s="33">
        <f t="shared" si="2"/>
        <v>2136.8510923990711</v>
      </c>
    </row>
    <row r="13" spans="2:9" ht="19.5" customHeight="1" x14ac:dyDescent="0.45">
      <c r="B13" s="193" t="s">
        <v>339</v>
      </c>
      <c r="C13" s="193"/>
      <c r="D13" s="193"/>
      <c r="E13" s="193"/>
      <c r="F13" s="193"/>
      <c r="G13" s="193"/>
      <c r="H13" s="193"/>
      <c r="I13" s="193"/>
    </row>
    <row r="14" spans="2:9" ht="18" customHeight="1" x14ac:dyDescent="0.45">
      <c r="B14" s="29" t="s">
        <v>336</v>
      </c>
      <c r="C14" s="33">
        <f t="shared" ref="C14:H14" si="3">C9</f>
        <v>1490.5139999999999</v>
      </c>
      <c r="D14" s="33">
        <f t="shared" si="3"/>
        <v>1538.2410749999997</v>
      </c>
      <c r="E14" s="33">
        <f t="shared" si="3"/>
        <v>1490.8904568749997</v>
      </c>
      <c r="F14" s="33">
        <f t="shared" si="3"/>
        <v>1539.1566946874996</v>
      </c>
      <c r="G14" s="33">
        <f t="shared" si="3"/>
        <v>1577.6356120546868</v>
      </c>
      <c r="H14" s="33">
        <f t="shared" si="3"/>
        <v>1617.0765023560539</v>
      </c>
    </row>
    <row r="15" spans="2:9" ht="18" customHeight="1" x14ac:dyDescent="0.45">
      <c r="B15" s="24" t="s">
        <v>340</v>
      </c>
      <c r="C15" s="89">
        <f t="shared" ref="C15:H15" si="4">-C14*0.24</f>
        <v>-357.72335999999996</v>
      </c>
      <c r="D15" s="89">
        <f t="shared" si="4"/>
        <v>-369.1778579999999</v>
      </c>
      <c r="E15" s="89">
        <f t="shared" si="4"/>
        <v>-357.81370964999991</v>
      </c>
      <c r="F15" s="89">
        <f t="shared" si="4"/>
        <v>-369.39760672499989</v>
      </c>
      <c r="G15" s="89">
        <f t="shared" si="4"/>
        <v>-378.63254689312481</v>
      </c>
      <c r="H15" s="89">
        <f t="shared" si="4"/>
        <v>-388.09836056545294</v>
      </c>
    </row>
    <row r="16" spans="2:9" ht="18" customHeight="1" x14ac:dyDescent="0.45">
      <c r="B16" s="22" t="s">
        <v>341</v>
      </c>
      <c r="C16" s="23">
        <f t="shared" ref="C16:H16" si="5">C14+C15</f>
        <v>1132.7906399999999</v>
      </c>
      <c r="D16" s="23">
        <f t="shared" si="5"/>
        <v>1169.0632169999999</v>
      </c>
      <c r="E16" s="23">
        <f t="shared" si="5"/>
        <v>1133.0767472249997</v>
      </c>
      <c r="F16" s="23">
        <f t="shared" si="5"/>
        <v>1169.7590879624997</v>
      </c>
      <c r="G16" s="23">
        <f t="shared" si="5"/>
        <v>1199.0030651615621</v>
      </c>
      <c r="H16" s="23">
        <f t="shared" si="5"/>
        <v>1228.9781417906011</v>
      </c>
    </row>
    <row r="17" spans="2:9" ht="18" customHeight="1" x14ac:dyDescent="0.45">
      <c r="B17" s="24" t="s">
        <v>342</v>
      </c>
      <c r="C17" s="89">
        <f t="shared" ref="C17:H17" si="6">C10</f>
        <v>459.40499999999997</v>
      </c>
      <c r="D17" s="89">
        <f t="shared" si="6"/>
        <v>470.8901249999999</v>
      </c>
      <c r="E17" s="89">
        <f t="shared" si="6"/>
        <v>482.66237812499986</v>
      </c>
      <c r="F17" s="89">
        <f t="shared" si="6"/>
        <v>494.72893757812477</v>
      </c>
      <c r="G17" s="89">
        <f t="shared" si="6"/>
        <v>507.09716101757783</v>
      </c>
      <c r="H17" s="89">
        <f t="shared" si="6"/>
        <v>519.77459004301727</v>
      </c>
    </row>
    <row r="18" spans="2:9" ht="18" customHeight="1" x14ac:dyDescent="0.45">
      <c r="B18" s="29" t="s">
        <v>343</v>
      </c>
      <c r="C18" s="33">
        <f t="shared" ref="C18:H18" si="7">-C7*0.045</f>
        <v>-459.40499999999997</v>
      </c>
      <c r="D18" s="33">
        <f t="shared" si="7"/>
        <v>-470.8901249999999</v>
      </c>
      <c r="E18" s="33">
        <f t="shared" si="7"/>
        <v>-482.66237812499986</v>
      </c>
      <c r="F18" s="33">
        <f t="shared" si="7"/>
        <v>-494.72893757812477</v>
      </c>
      <c r="G18" s="33">
        <f t="shared" si="7"/>
        <v>-507.09716101757783</v>
      </c>
      <c r="H18" s="33">
        <f t="shared" si="7"/>
        <v>-519.77459004301727</v>
      </c>
    </row>
    <row r="19" spans="2:9" ht="18" customHeight="1" x14ac:dyDescent="0.45">
      <c r="B19" s="24" t="s">
        <v>344</v>
      </c>
      <c r="C19" s="89">
        <f t="shared" ref="C19:H19" si="8">-C7*0.008</f>
        <v>-81.671999999999997</v>
      </c>
      <c r="D19" s="89">
        <f t="shared" si="8"/>
        <v>-83.713799999999992</v>
      </c>
      <c r="E19" s="89">
        <f t="shared" si="8"/>
        <v>-85.806644999999975</v>
      </c>
      <c r="F19" s="89">
        <f t="shared" si="8"/>
        <v>-87.951811124999963</v>
      </c>
      <c r="G19" s="89">
        <f t="shared" si="8"/>
        <v>-90.150606403124954</v>
      </c>
      <c r="H19" s="89">
        <f t="shared" si="8"/>
        <v>-92.404371563203071</v>
      </c>
    </row>
    <row r="20" spans="2:9" ht="18" customHeight="1" x14ac:dyDescent="0.45">
      <c r="B20" s="22" t="s">
        <v>345</v>
      </c>
      <c r="C20" s="23">
        <f t="shared" ref="C20:H20" si="9">C16+C17+C18+C19</f>
        <v>1051.1186399999999</v>
      </c>
      <c r="D20" s="23">
        <f t="shared" si="9"/>
        <v>1085.3494169999999</v>
      </c>
      <c r="E20" s="23">
        <f t="shared" si="9"/>
        <v>1047.2701022249998</v>
      </c>
      <c r="F20" s="23">
        <f t="shared" si="9"/>
        <v>1081.8072768374998</v>
      </c>
      <c r="G20" s="23">
        <f t="shared" si="9"/>
        <v>1108.852458758437</v>
      </c>
      <c r="H20" s="23">
        <f t="shared" si="9"/>
        <v>1136.573770227398</v>
      </c>
    </row>
    <row r="22" spans="2:9" ht="19.5" customHeight="1" x14ac:dyDescent="0.45">
      <c r="B22" s="193" t="s">
        <v>346</v>
      </c>
      <c r="C22" s="193"/>
      <c r="D22" s="193"/>
      <c r="E22" s="193"/>
      <c r="F22" s="193"/>
      <c r="G22" s="193"/>
      <c r="H22" s="193"/>
      <c r="I22" s="193"/>
    </row>
    <row r="23" spans="2:9" ht="18" customHeight="1" x14ac:dyDescent="0.45">
      <c r="B23" s="29" t="s">
        <v>347</v>
      </c>
      <c r="C23" s="90">
        <v>6.7000000000000004E-2</v>
      </c>
      <c r="D23" s="90">
        <v>6.7000000000000004E-2</v>
      </c>
      <c r="E23" s="90">
        <v>6.7000000000000004E-2</v>
      </c>
      <c r="F23" s="90">
        <v>6.7000000000000004E-2</v>
      </c>
      <c r="G23" s="90">
        <v>6.7000000000000004E-2</v>
      </c>
      <c r="H23" s="90">
        <v>6.7000000000000004E-2</v>
      </c>
    </row>
    <row r="24" spans="2:9" ht="18" customHeight="1" x14ac:dyDescent="0.45">
      <c r="B24" s="24" t="s">
        <v>348</v>
      </c>
      <c r="C24" s="36"/>
      <c r="D24" s="36">
        <v>0.5</v>
      </c>
      <c r="E24" s="36">
        <v>1.5</v>
      </c>
      <c r="F24" s="36">
        <v>2.5</v>
      </c>
      <c r="G24" s="36">
        <v>3.5</v>
      </c>
      <c r="H24" s="36">
        <v>4.5</v>
      </c>
    </row>
    <row r="25" spans="2:9" ht="18" customHeight="1" x14ac:dyDescent="0.45">
      <c r="B25" s="29" t="s">
        <v>349</v>
      </c>
      <c r="C25" s="91"/>
      <c r="D25" s="92">
        <f>1/(1+D23)^D24</f>
        <v>0.96809458358888323</v>
      </c>
      <c r="E25" s="92">
        <f>1/(1+E23)^E24</f>
        <v>0.90730513925855982</v>
      </c>
      <c r="F25" s="92">
        <f>1/(1+F23)^F24</f>
        <v>0.85033283904269896</v>
      </c>
      <c r="G25" s="92">
        <f>1/(1+G23)^G24</f>
        <v>0.79693799347956795</v>
      </c>
      <c r="H25" s="92">
        <f>1/(1+H23)^H24</f>
        <v>0.74689596389837676</v>
      </c>
    </row>
    <row r="26" spans="2:9" ht="18" customHeight="1" x14ac:dyDescent="0.45">
      <c r="B26" s="34" t="s">
        <v>350</v>
      </c>
      <c r="C26" s="35"/>
      <c r="D26" s="35">
        <f>D20*D25</f>
        <v>1050.720891899052</v>
      </c>
      <c r="E26" s="35">
        <f>E20*E25</f>
        <v>950.19354594057961</v>
      </c>
      <c r="F26" s="35">
        <f>F20*F25</f>
        <v>919.89625301028218</v>
      </c>
      <c r="G26" s="35">
        <f>G20*G25</f>
        <v>883.68665354783423</v>
      </c>
      <c r="H26" s="35">
        <f>H20*H25</f>
        <v>848.90236165560464</v>
      </c>
    </row>
    <row r="27" spans="2:9" ht="18" customHeight="1" x14ac:dyDescent="0.45">
      <c r="B27" s="22" t="s">
        <v>351</v>
      </c>
      <c r="C27" s="23"/>
      <c r="D27" s="23">
        <f>SUM(D26:H26)</f>
        <v>4653.3997060533529</v>
      </c>
      <c r="E27" s="23"/>
      <c r="F27" s="23"/>
      <c r="G27" s="23"/>
      <c r="H27" s="23"/>
    </row>
    <row r="29" spans="2:9" ht="19.5" customHeight="1" x14ac:dyDescent="0.45">
      <c r="B29" s="193" t="s">
        <v>352</v>
      </c>
      <c r="C29" s="193"/>
      <c r="D29" s="193"/>
      <c r="E29" s="193"/>
      <c r="F29" s="193"/>
      <c r="G29" s="193"/>
      <c r="H29" s="193"/>
      <c r="I29" s="193"/>
    </row>
    <row r="30" spans="2:9" ht="18" customHeight="1" x14ac:dyDescent="0.45">
      <c r="B30" s="29" t="s">
        <v>353</v>
      </c>
      <c r="C30" s="90">
        <v>2.5000000000000001E-2</v>
      </c>
      <c r="D30" s="90"/>
      <c r="E30" s="90"/>
      <c r="F30" s="90"/>
      <c r="G30" s="90"/>
      <c r="H30" s="90"/>
    </row>
    <row r="31" spans="2:9" ht="18" customHeight="1" x14ac:dyDescent="0.45">
      <c r="B31" s="24" t="s">
        <v>354</v>
      </c>
      <c r="C31" s="36"/>
      <c r="D31" s="36"/>
      <c r="E31" s="36"/>
      <c r="F31" s="36"/>
      <c r="G31" s="36"/>
      <c r="H31" s="89">
        <f>H20</f>
        <v>1136.573770227398</v>
      </c>
    </row>
    <row r="32" spans="2:9" ht="18" customHeight="1" x14ac:dyDescent="0.45">
      <c r="B32" s="22" t="s">
        <v>355</v>
      </c>
      <c r="C32" s="23"/>
      <c r="D32" s="23"/>
      <c r="E32" s="23"/>
      <c r="F32" s="23"/>
      <c r="G32" s="23"/>
      <c r="H32" s="23">
        <f>H20*(1+C30)/(C23-C30)</f>
        <v>27737.812249597209</v>
      </c>
    </row>
    <row r="33" spans="2:9" ht="18" customHeight="1" x14ac:dyDescent="0.45">
      <c r="B33" s="34" t="s">
        <v>356</v>
      </c>
      <c r="C33" s="35"/>
      <c r="D33" s="35"/>
      <c r="E33" s="35"/>
      <c r="F33" s="35"/>
      <c r="G33" s="35"/>
      <c r="H33" s="35">
        <f>H32/(1+H23)^5</f>
        <v>20056.267208868263</v>
      </c>
    </row>
    <row r="34" spans="2:9" ht="18" customHeight="1" x14ac:dyDescent="0.45">
      <c r="B34" s="29" t="s">
        <v>357</v>
      </c>
      <c r="C34" s="93"/>
      <c r="D34" s="93"/>
      <c r="E34" s="93"/>
      <c r="F34" s="93"/>
      <c r="G34" s="93"/>
      <c r="H34" s="93">
        <v>9</v>
      </c>
    </row>
    <row r="35" spans="2:9" ht="18" customHeight="1" x14ac:dyDescent="0.45">
      <c r="B35" s="24" t="s">
        <v>358</v>
      </c>
      <c r="C35" s="36"/>
      <c r="D35" s="36"/>
      <c r="E35" s="36"/>
      <c r="F35" s="36"/>
      <c r="G35" s="36"/>
      <c r="H35" s="89">
        <f>H9*H34</f>
        <v>14553.688521204485</v>
      </c>
    </row>
    <row r="36" spans="2:9" ht="18" customHeight="1" x14ac:dyDescent="0.45">
      <c r="B36" s="34" t="s">
        <v>359</v>
      </c>
      <c r="C36" s="35"/>
      <c r="D36" s="35"/>
      <c r="E36" s="35"/>
      <c r="F36" s="35"/>
      <c r="G36" s="35"/>
      <c r="H36" s="35">
        <f>H35/(1+H23)^5</f>
        <v>10523.276429638197</v>
      </c>
    </row>
    <row r="38" spans="2:9" ht="19.5" customHeight="1" x14ac:dyDescent="0.45">
      <c r="B38" s="193" t="s">
        <v>360</v>
      </c>
      <c r="C38" s="193"/>
      <c r="D38" s="193"/>
      <c r="E38" s="193"/>
      <c r="F38" s="193"/>
      <c r="G38" s="193"/>
      <c r="H38" s="193"/>
      <c r="I38" s="193"/>
    </row>
    <row r="39" spans="2:9" ht="18" customHeight="1" x14ac:dyDescent="0.45">
      <c r="B39" s="22" t="s">
        <v>361</v>
      </c>
      <c r="C39" s="23">
        <f>D27</f>
        <v>4653.3997060533529</v>
      </c>
      <c r="D39" s="23"/>
      <c r="E39" s="23"/>
      <c r="F39" s="23"/>
      <c r="G39" s="23"/>
      <c r="H39" s="23"/>
    </row>
    <row r="40" spans="2:9" ht="18" customHeight="1" x14ac:dyDescent="0.45">
      <c r="B40" s="34" t="s">
        <v>356</v>
      </c>
      <c r="C40" s="35">
        <f>H33</f>
        <v>20056.267208868263</v>
      </c>
      <c r="D40" s="35"/>
      <c r="E40" s="35"/>
      <c r="F40" s="35"/>
      <c r="G40" s="35"/>
      <c r="H40" s="35"/>
    </row>
    <row r="41" spans="2:9" ht="18" customHeight="1" x14ac:dyDescent="0.45">
      <c r="B41" s="22" t="s">
        <v>362</v>
      </c>
      <c r="C41" s="23">
        <f>C39+C40</f>
        <v>24709.666914921618</v>
      </c>
      <c r="D41" s="23"/>
      <c r="E41" s="23"/>
      <c r="F41" s="23"/>
      <c r="G41" s="23"/>
      <c r="H41" s="23"/>
    </row>
    <row r="42" spans="2:9" ht="18" customHeight="1" x14ac:dyDescent="0.45">
      <c r="B42" s="34" t="s">
        <v>363</v>
      </c>
      <c r="C42" s="35">
        <f>D27+H36</f>
        <v>15176.67613569155</v>
      </c>
      <c r="D42" s="35"/>
      <c r="E42" s="35"/>
      <c r="F42" s="35"/>
      <c r="G42" s="35"/>
      <c r="H42" s="35"/>
    </row>
    <row r="43" spans="2:9" ht="18" customHeight="1" x14ac:dyDescent="0.45">
      <c r="B43" s="29" t="s">
        <v>364</v>
      </c>
      <c r="C43" s="30">
        <v>-3974</v>
      </c>
      <c r="D43" s="30"/>
      <c r="E43" s="30"/>
      <c r="F43" s="30"/>
      <c r="G43" s="30"/>
      <c r="H43" s="30"/>
    </row>
    <row r="44" spans="2:9" ht="18" customHeight="1" x14ac:dyDescent="0.45">
      <c r="B44" s="24" t="s">
        <v>365</v>
      </c>
      <c r="C44" s="36">
        <v>-120</v>
      </c>
      <c r="D44" s="36"/>
      <c r="E44" s="36"/>
      <c r="F44" s="36"/>
      <c r="G44" s="36"/>
      <c r="H44" s="36"/>
    </row>
    <row r="45" spans="2:9" ht="18" customHeight="1" x14ac:dyDescent="0.45">
      <c r="B45" s="94" t="s">
        <v>366</v>
      </c>
      <c r="C45" s="95">
        <f>C41+C43+C44</f>
        <v>20615.666914921618</v>
      </c>
      <c r="D45" s="95"/>
      <c r="E45" s="95"/>
      <c r="F45" s="95"/>
      <c r="G45" s="95"/>
      <c r="H45" s="95"/>
    </row>
    <row r="46" spans="2:9" ht="18" customHeight="1" x14ac:dyDescent="0.45">
      <c r="B46" s="27" t="s">
        <v>367</v>
      </c>
      <c r="C46" s="96">
        <f>C42+C43+C44</f>
        <v>11082.67613569155</v>
      </c>
      <c r="D46" s="96"/>
      <c r="E46" s="96"/>
      <c r="F46" s="96"/>
      <c r="G46" s="96"/>
      <c r="H46" s="96"/>
    </row>
    <row r="47" spans="2:9" ht="18" customHeight="1" x14ac:dyDescent="0.45">
      <c r="B47" s="24" t="s">
        <v>317</v>
      </c>
      <c r="C47" s="36">
        <v>58.14</v>
      </c>
      <c r="D47" s="36"/>
      <c r="E47" s="36"/>
      <c r="F47" s="36"/>
      <c r="G47" s="36"/>
      <c r="H47" s="36"/>
    </row>
    <row r="48" spans="2:9" ht="18" customHeight="1" x14ac:dyDescent="0.45">
      <c r="B48" s="94" t="s">
        <v>368</v>
      </c>
      <c r="C48" s="97">
        <f>C45/C47</f>
        <v>354.58663424357786</v>
      </c>
      <c r="D48" s="97"/>
      <c r="E48" s="97"/>
      <c r="F48" s="97"/>
      <c r="G48" s="97"/>
      <c r="H48" s="97"/>
    </row>
    <row r="49" spans="2:9" ht="18" customHeight="1" x14ac:dyDescent="0.45">
      <c r="B49" s="27" t="s">
        <v>369</v>
      </c>
      <c r="C49" s="98">
        <f>C46/C47</f>
        <v>190.6205045698581</v>
      </c>
      <c r="D49" s="98"/>
      <c r="E49" s="98"/>
      <c r="F49" s="98"/>
      <c r="G49" s="98"/>
      <c r="H49" s="98"/>
    </row>
    <row r="50" spans="2:9" ht="18" customHeight="1" x14ac:dyDescent="0.45">
      <c r="B50" s="29" t="s">
        <v>319</v>
      </c>
      <c r="C50" s="37">
        <v>66.540000000000006</v>
      </c>
      <c r="D50" s="37"/>
      <c r="E50" s="37"/>
      <c r="F50" s="37"/>
      <c r="G50" s="37"/>
      <c r="H50" s="37"/>
    </row>
    <row r="51" spans="2:9" ht="18" customHeight="1" x14ac:dyDescent="0.45">
      <c r="B51" s="24" t="s">
        <v>370</v>
      </c>
      <c r="C51" s="26">
        <f>(C48-C50)/C50</f>
        <v>4.328924470146946</v>
      </c>
      <c r="D51" s="25"/>
      <c r="E51" s="25"/>
      <c r="F51" s="25"/>
      <c r="G51" s="25"/>
      <c r="H51" s="25"/>
    </row>
    <row r="52" spans="2:9" ht="18" customHeight="1" x14ac:dyDescent="0.45">
      <c r="B52" s="29" t="s">
        <v>371</v>
      </c>
      <c r="C52" s="38">
        <f>(C49-C50)/C50</f>
        <v>1.8647505946777589</v>
      </c>
      <c r="D52" s="90"/>
      <c r="E52" s="90"/>
      <c r="F52" s="90"/>
      <c r="G52" s="90"/>
      <c r="H52" s="90"/>
    </row>
    <row r="54" spans="2:9" ht="19.5" customHeight="1" x14ac:dyDescent="0.45">
      <c r="B54" s="193" t="s">
        <v>372</v>
      </c>
      <c r="C54" s="193"/>
      <c r="D54" s="193"/>
      <c r="E54" s="193"/>
      <c r="F54" s="193"/>
      <c r="G54" s="193"/>
      <c r="H54" s="193"/>
      <c r="I54" s="193"/>
    </row>
    <row r="55" spans="2:9" ht="19.5" customHeight="1" x14ac:dyDescent="0.45">
      <c r="B55" s="4"/>
      <c r="C55" s="4" t="s">
        <v>373</v>
      </c>
      <c r="D55" s="4" t="s">
        <v>374</v>
      </c>
      <c r="E55" s="4" t="s">
        <v>375</v>
      </c>
    </row>
    <row r="56" spans="2:9" ht="18" customHeight="1" x14ac:dyDescent="0.45">
      <c r="B56" s="99" t="s">
        <v>347</v>
      </c>
      <c r="C56" s="100">
        <v>8.2000000000000003E-2</v>
      </c>
      <c r="D56" s="101">
        <v>6.7000000000000004E-2</v>
      </c>
      <c r="E56" s="102">
        <v>5.8000000000000003E-2</v>
      </c>
    </row>
    <row r="57" spans="2:9" ht="18" customHeight="1" x14ac:dyDescent="0.45">
      <c r="B57" s="103" t="s">
        <v>353</v>
      </c>
      <c r="C57" s="104">
        <v>0.02</v>
      </c>
      <c r="D57" s="105">
        <v>2.5000000000000001E-2</v>
      </c>
      <c r="E57" s="106">
        <v>0.03</v>
      </c>
    </row>
    <row r="58" spans="2:9" ht="18" customHeight="1" x14ac:dyDescent="0.45">
      <c r="B58" s="99" t="s">
        <v>376</v>
      </c>
      <c r="C58" s="100">
        <v>0.1</v>
      </c>
      <c r="D58" s="101">
        <v>0.14000000000000001</v>
      </c>
      <c r="E58" s="102">
        <v>0.16500000000000001</v>
      </c>
    </row>
    <row r="59" spans="2:9" ht="18" customHeight="1" x14ac:dyDescent="0.45">
      <c r="B59" s="103" t="s">
        <v>377</v>
      </c>
      <c r="C59" s="107" t="s">
        <v>378</v>
      </c>
      <c r="D59" s="105">
        <v>2.5000000000000001E-2</v>
      </c>
      <c r="E59" s="106">
        <v>7.0000000000000007E-2</v>
      </c>
    </row>
    <row r="60" spans="2:9" ht="18" customHeight="1" x14ac:dyDescent="0.45">
      <c r="B60" s="99" t="s">
        <v>379</v>
      </c>
      <c r="C60" s="108" t="s">
        <v>380</v>
      </c>
      <c r="D60" s="109" t="s">
        <v>381</v>
      </c>
      <c r="E60" s="110" t="s">
        <v>382</v>
      </c>
    </row>
    <row r="61" spans="2:9" ht="18" customHeight="1" x14ac:dyDescent="0.45">
      <c r="B61" s="103" t="s">
        <v>383</v>
      </c>
      <c r="C61" s="107" t="s">
        <v>384</v>
      </c>
      <c r="D61" s="111" t="s">
        <v>385</v>
      </c>
      <c r="E61" s="112" t="s">
        <v>386</v>
      </c>
    </row>
    <row r="62" spans="2:9" ht="18" customHeight="1" x14ac:dyDescent="0.45">
      <c r="B62" s="99" t="s">
        <v>387</v>
      </c>
      <c r="C62" s="108" t="s">
        <v>388</v>
      </c>
      <c r="D62" s="109" t="s">
        <v>389</v>
      </c>
      <c r="E62" s="110" t="s">
        <v>390</v>
      </c>
    </row>
    <row r="63" spans="2:9" ht="18" customHeight="1" x14ac:dyDescent="0.45">
      <c r="B63" s="103" t="s">
        <v>391</v>
      </c>
      <c r="C63" s="107" t="s">
        <v>392</v>
      </c>
      <c r="D63" s="111" t="s">
        <v>393</v>
      </c>
      <c r="E63" s="112" t="s">
        <v>394</v>
      </c>
    </row>
    <row r="65" spans="2:9" ht="19.5" customHeight="1" x14ac:dyDescent="0.45">
      <c r="B65" s="193" t="s">
        <v>395</v>
      </c>
      <c r="C65" s="193"/>
      <c r="D65" s="193"/>
      <c r="E65" s="193"/>
      <c r="F65" s="193"/>
      <c r="G65" s="193"/>
      <c r="H65" s="193"/>
      <c r="I65" s="193"/>
    </row>
    <row r="66" spans="2:9" ht="19.5" customHeight="1" x14ac:dyDescent="0.45">
      <c r="B66" s="113" t="s">
        <v>396</v>
      </c>
      <c r="C66" s="114">
        <v>5.5E-2</v>
      </c>
      <c r="D66" s="114">
        <v>0.06</v>
      </c>
      <c r="E66" s="114">
        <v>6.7000000000000004E-2</v>
      </c>
      <c r="F66" s="114">
        <v>7.4999999999999997E-2</v>
      </c>
      <c r="G66" s="114">
        <v>8.2000000000000003E-2</v>
      </c>
    </row>
    <row r="67" spans="2:9" ht="13.5" customHeight="1" x14ac:dyDescent="0.45">
      <c r="B67" s="115" t="s">
        <v>397</v>
      </c>
    </row>
    <row r="68" spans="2:9" ht="18" customHeight="1" x14ac:dyDescent="0.45">
      <c r="B68" s="116">
        <v>0.02</v>
      </c>
      <c r="C68" s="117">
        <v>126</v>
      </c>
      <c r="D68" s="118">
        <v>101</v>
      </c>
      <c r="E68" s="117">
        <v>75</v>
      </c>
      <c r="F68" s="118">
        <v>52</v>
      </c>
      <c r="G68" s="117">
        <v>34</v>
      </c>
    </row>
    <row r="69" spans="2:9" ht="18" customHeight="1" x14ac:dyDescent="0.45">
      <c r="B69" s="116">
        <v>2.5000000000000001E-2</v>
      </c>
      <c r="C69" s="118">
        <v>148</v>
      </c>
      <c r="D69" s="117">
        <v>118</v>
      </c>
      <c r="E69" s="119">
        <v>87</v>
      </c>
      <c r="F69" s="117">
        <v>61</v>
      </c>
      <c r="G69" s="118">
        <v>41</v>
      </c>
    </row>
    <row r="70" spans="2:9" ht="18" customHeight="1" x14ac:dyDescent="0.45">
      <c r="B70" s="116">
        <v>0.03</v>
      </c>
      <c r="C70" s="117">
        <v>179</v>
      </c>
      <c r="D70" s="118">
        <v>141</v>
      </c>
      <c r="E70" s="117">
        <v>103</v>
      </c>
      <c r="F70" s="118">
        <v>73</v>
      </c>
      <c r="G70" s="117">
        <v>50</v>
      </c>
    </row>
    <row r="72" spans="2:9" ht="19.5" customHeight="1" x14ac:dyDescent="0.45">
      <c r="B72" s="213" t="s">
        <v>398</v>
      </c>
      <c r="C72" s="213"/>
      <c r="D72" s="213"/>
      <c r="E72" s="213"/>
      <c r="F72" s="213"/>
      <c r="G72" s="213"/>
      <c r="H72" s="213"/>
      <c r="I72" s="213"/>
    </row>
  </sheetData>
  <mergeCells count="9">
    <mergeCell ref="B38:I38"/>
    <mergeCell ref="B54:I54"/>
    <mergeCell ref="B65:I65"/>
    <mergeCell ref="B72:I72"/>
    <mergeCell ref="B1:I1"/>
    <mergeCell ref="B6:I6"/>
    <mergeCell ref="B13:I13"/>
    <mergeCell ref="B22:I22"/>
    <mergeCell ref="B29:I29"/>
  </mergeCells>
  <pageMargins left="0.75" right="0.75" top="1" bottom="1" header="0.511811023622047" footer="0.511811023622047"/>
  <pageSetup paperSize="9" orientation="portrait" horizontalDpi="300" verticalDpi="300"/>
  <ignoredErrors>
    <ignoredError sqref="C5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E44AD"/>
  </sheetPr>
  <dimension ref="B1:J24"/>
  <sheetViews>
    <sheetView showGridLines="0" zoomScaleNormal="100" workbookViewId="0">
      <pane xSplit="2" ySplit="4" topLeftCell="C5" activePane="bottomRight" state="frozen"/>
      <selection pane="topRight" activeCell="C1" sqref="C1"/>
      <selection pane="bottomLeft" activeCell="A5" sqref="A5"/>
      <selection pane="bottomRight" activeCell="I23" sqref="I23"/>
    </sheetView>
  </sheetViews>
  <sheetFormatPr defaultColWidth="8.6640625" defaultRowHeight="14.25" x14ac:dyDescent="0.45"/>
  <cols>
    <col min="1" max="1" width="3" customWidth="1"/>
    <col min="2" max="2" width="26" customWidth="1"/>
    <col min="3" max="3" width="14.33203125" customWidth="1"/>
    <col min="4" max="9" width="12" customWidth="1"/>
    <col min="10" max="10" width="55.46484375" customWidth="1"/>
    <col min="11" max="11" width="3" customWidth="1"/>
  </cols>
  <sheetData>
    <row r="1" spans="2:10" ht="25.5" customHeight="1" x14ac:dyDescent="0.45">
      <c r="B1" s="191" t="s">
        <v>399</v>
      </c>
      <c r="C1" s="191"/>
      <c r="D1" s="191"/>
      <c r="E1" s="191"/>
      <c r="F1" s="191"/>
      <c r="G1" s="191"/>
      <c r="H1" s="191"/>
      <c r="I1" s="191"/>
      <c r="J1" s="191"/>
    </row>
    <row r="2" spans="2:10" ht="36" customHeight="1" x14ac:dyDescent="0.45">
      <c r="B2" s="192" t="s">
        <v>400</v>
      </c>
      <c r="C2" s="192"/>
      <c r="D2" s="192"/>
      <c r="E2" s="192"/>
      <c r="F2" s="192"/>
      <c r="G2" s="192"/>
      <c r="H2" s="192"/>
      <c r="I2" s="192"/>
      <c r="J2" s="192"/>
    </row>
    <row r="4" spans="2:10" ht="27.75" customHeight="1" x14ac:dyDescent="0.45">
      <c r="B4" s="49" t="s">
        <v>401</v>
      </c>
      <c r="C4" s="49" t="s">
        <v>217</v>
      </c>
      <c r="D4" s="49" t="s">
        <v>402</v>
      </c>
      <c r="E4" s="49" t="s">
        <v>403</v>
      </c>
      <c r="F4" s="49" t="s">
        <v>404</v>
      </c>
      <c r="G4" s="49" t="s">
        <v>405</v>
      </c>
      <c r="H4" s="49" t="s">
        <v>406</v>
      </c>
      <c r="I4" s="49" t="s">
        <v>407</v>
      </c>
      <c r="J4" s="49" t="s">
        <v>408</v>
      </c>
    </row>
    <row r="5" spans="2:10" ht="26.25" customHeight="1" x14ac:dyDescent="0.45">
      <c r="B5" s="99" t="s">
        <v>409</v>
      </c>
      <c r="C5" s="120" t="s">
        <v>410</v>
      </c>
      <c r="D5" s="120" t="s">
        <v>411</v>
      </c>
      <c r="E5" s="120" t="s">
        <v>412</v>
      </c>
      <c r="F5" s="121">
        <v>0.5</v>
      </c>
      <c r="G5" s="121">
        <v>5.6</v>
      </c>
      <c r="H5" s="121">
        <v>12.2</v>
      </c>
      <c r="I5" s="120" t="s">
        <v>413</v>
      </c>
      <c r="J5" s="189" t="s">
        <v>414</v>
      </c>
    </row>
    <row r="6" spans="2:10" ht="24" customHeight="1" x14ac:dyDescent="0.45">
      <c r="B6" s="103" t="s">
        <v>415</v>
      </c>
      <c r="C6" s="122" t="s">
        <v>416</v>
      </c>
      <c r="D6" s="122" t="s">
        <v>417</v>
      </c>
      <c r="E6" s="122" t="s">
        <v>418</v>
      </c>
      <c r="F6" s="123">
        <v>0.9</v>
      </c>
      <c r="G6" s="123">
        <v>7.4</v>
      </c>
      <c r="H6" s="122" t="s">
        <v>419</v>
      </c>
      <c r="I6" s="122" t="s">
        <v>420</v>
      </c>
      <c r="J6" s="190" t="s">
        <v>421</v>
      </c>
    </row>
    <row r="7" spans="2:10" ht="24" customHeight="1" x14ac:dyDescent="0.45">
      <c r="B7" s="99" t="s">
        <v>422</v>
      </c>
      <c r="C7" s="120" t="s">
        <v>423</v>
      </c>
      <c r="D7" s="120" t="s">
        <v>424</v>
      </c>
      <c r="E7" s="120" t="s">
        <v>425</v>
      </c>
      <c r="F7" s="121">
        <v>0.4</v>
      </c>
      <c r="G7" s="121">
        <v>4.2</v>
      </c>
      <c r="H7" s="120" t="s">
        <v>419</v>
      </c>
      <c r="I7" s="120" t="s">
        <v>417</v>
      </c>
      <c r="J7" s="189" t="s">
        <v>426</v>
      </c>
    </row>
    <row r="8" spans="2:10" ht="24" customHeight="1" x14ac:dyDescent="0.45">
      <c r="B8" s="103" t="s">
        <v>427</v>
      </c>
      <c r="C8" s="122" t="s">
        <v>428</v>
      </c>
      <c r="D8" s="122" t="s">
        <v>413</v>
      </c>
      <c r="E8" s="122" t="s">
        <v>429</v>
      </c>
      <c r="F8" s="123">
        <v>0.9</v>
      </c>
      <c r="G8" s="122" t="s">
        <v>430</v>
      </c>
      <c r="H8" s="122" t="s">
        <v>431</v>
      </c>
      <c r="I8" s="122" t="s">
        <v>432</v>
      </c>
      <c r="J8" s="190" t="s">
        <v>433</v>
      </c>
    </row>
    <row r="9" spans="2:10" ht="24" customHeight="1" x14ac:dyDescent="0.45">
      <c r="B9" s="99" t="s">
        <v>434</v>
      </c>
      <c r="C9" s="120" t="s">
        <v>435</v>
      </c>
      <c r="D9" s="120" t="s">
        <v>436</v>
      </c>
      <c r="E9" s="120" t="s">
        <v>411</v>
      </c>
      <c r="F9" s="121">
        <v>0.1</v>
      </c>
      <c r="G9" s="120" t="s">
        <v>437</v>
      </c>
      <c r="H9" s="121">
        <v>14</v>
      </c>
      <c r="I9" s="120" t="s">
        <v>432</v>
      </c>
      <c r="J9" s="189" t="s">
        <v>438</v>
      </c>
    </row>
    <row r="10" spans="2:10" ht="24" customHeight="1" x14ac:dyDescent="0.45">
      <c r="B10" s="103" t="s">
        <v>439</v>
      </c>
      <c r="C10" s="122" t="s">
        <v>440</v>
      </c>
      <c r="D10" s="122" t="s">
        <v>432</v>
      </c>
      <c r="E10" s="122" t="s">
        <v>441</v>
      </c>
      <c r="F10" s="123">
        <v>3</v>
      </c>
      <c r="G10" s="122" t="s">
        <v>431</v>
      </c>
      <c r="H10" s="122" t="s">
        <v>442</v>
      </c>
      <c r="I10" s="122" t="s">
        <v>417</v>
      </c>
      <c r="J10" s="190" t="s">
        <v>443</v>
      </c>
    </row>
    <row r="12" spans="2:10" ht="19.5" customHeight="1" x14ac:dyDescent="0.45">
      <c r="B12" s="124" t="s">
        <v>444</v>
      </c>
      <c r="D12" s="109" t="s">
        <v>411</v>
      </c>
      <c r="E12" s="109" t="s">
        <v>425</v>
      </c>
      <c r="F12" s="125">
        <v>0.45</v>
      </c>
      <c r="G12" s="125">
        <v>4.7</v>
      </c>
      <c r="H12" s="125">
        <v>12.2</v>
      </c>
      <c r="I12" s="101">
        <v>4.4999999999999998E-2</v>
      </c>
    </row>
    <row r="13" spans="2:10" ht="19.5" customHeight="1" x14ac:dyDescent="0.45">
      <c r="B13" s="126" t="s">
        <v>445</v>
      </c>
      <c r="D13" s="127" t="s">
        <v>411</v>
      </c>
      <c r="E13" s="127" t="s">
        <v>412</v>
      </c>
      <c r="F13" s="128">
        <v>0.7</v>
      </c>
      <c r="G13" s="128">
        <v>6.5</v>
      </c>
      <c r="H13" s="128">
        <v>14</v>
      </c>
      <c r="I13" s="129">
        <v>5.5E-2</v>
      </c>
    </row>
    <row r="14" spans="2:10" ht="19.5" customHeight="1" x14ac:dyDescent="0.45">
      <c r="B14" s="124" t="s">
        <v>446</v>
      </c>
      <c r="D14" s="109" t="s">
        <v>432</v>
      </c>
      <c r="E14" s="109" t="s">
        <v>447</v>
      </c>
      <c r="F14" s="125">
        <v>1.2</v>
      </c>
      <c r="G14" s="125">
        <v>10.5</v>
      </c>
      <c r="H14" s="125">
        <v>22</v>
      </c>
      <c r="I14" s="101">
        <v>6.5000000000000002E-2</v>
      </c>
    </row>
    <row r="16" spans="2:10" ht="19.5" customHeight="1" x14ac:dyDescent="0.45">
      <c r="B16" s="193" t="s">
        <v>448</v>
      </c>
      <c r="C16" s="193"/>
      <c r="D16" s="193"/>
      <c r="E16" s="193"/>
      <c r="F16" s="193"/>
      <c r="G16" s="193"/>
      <c r="H16" s="193"/>
      <c r="I16" s="193"/>
      <c r="J16" s="193"/>
    </row>
    <row r="18" spans="2:9" ht="19.5" customHeight="1" x14ac:dyDescent="0.45">
      <c r="B18" s="127" t="s">
        <v>449</v>
      </c>
      <c r="C18" s="127" t="s">
        <v>450</v>
      </c>
      <c r="D18" s="127" t="s">
        <v>451</v>
      </c>
      <c r="E18" s="127" t="s">
        <v>452</v>
      </c>
      <c r="F18" s="127" t="s">
        <v>404</v>
      </c>
      <c r="G18" s="127" t="s">
        <v>453</v>
      </c>
      <c r="H18" s="127" t="s">
        <v>406</v>
      </c>
      <c r="I18" s="127" t="s">
        <v>454</v>
      </c>
    </row>
    <row r="19" spans="2:9" ht="19.5" customHeight="1" x14ac:dyDescent="0.45">
      <c r="B19" s="130" t="s">
        <v>455</v>
      </c>
      <c r="C19" s="131">
        <v>300</v>
      </c>
      <c r="D19" s="132" t="s">
        <v>456</v>
      </c>
      <c r="E19" s="132" t="s">
        <v>457</v>
      </c>
      <c r="F19" s="133">
        <v>2.1</v>
      </c>
      <c r="G19" s="133">
        <v>14.4</v>
      </c>
      <c r="H19" s="133">
        <v>34.9</v>
      </c>
      <c r="I19" s="132" t="s">
        <v>458</v>
      </c>
    </row>
    <row r="20" spans="2:9" ht="19.5" customHeight="1" x14ac:dyDescent="0.45">
      <c r="B20" s="134" t="s">
        <v>459</v>
      </c>
      <c r="C20" s="135">
        <v>96.38</v>
      </c>
      <c r="D20" s="136" t="s">
        <v>460</v>
      </c>
      <c r="E20" s="136" t="s">
        <v>461</v>
      </c>
      <c r="F20" s="41">
        <v>0.9</v>
      </c>
      <c r="G20" s="41">
        <v>6.4</v>
      </c>
      <c r="H20" s="41">
        <v>11.2</v>
      </c>
      <c r="I20" s="136" t="s">
        <v>462</v>
      </c>
    </row>
    <row r="21" spans="2:9" ht="19.5" customHeight="1" x14ac:dyDescent="0.45">
      <c r="B21" s="137" t="s">
        <v>463</v>
      </c>
      <c r="C21" s="138">
        <v>66.540000000000006</v>
      </c>
      <c r="D21" s="139" t="s">
        <v>464</v>
      </c>
      <c r="E21" s="139" t="s">
        <v>465</v>
      </c>
      <c r="F21" s="140">
        <v>0.8</v>
      </c>
      <c r="G21" s="140">
        <v>5.3</v>
      </c>
      <c r="H21" s="140">
        <v>7.7</v>
      </c>
      <c r="I21" s="139" t="s">
        <v>466</v>
      </c>
    </row>
    <row r="22" spans="2:9" ht="19.5" customHeight="1" x14ac:dyDescent="0.45">
      <c r="B22" s="134" t="s">
        <v>467</v>
      </c>
      <c r="C22" s="135">
        <v>87</v>
      </c>
      <c r="D22" s="136" t="s">
        <v>468</v>
      </c>
      <c r="E22" s="136" t="s">
        <v>469</v>
      </c>
      <c r="F22" s="41">
        <v>0.9</v>
      </c>
      <c r="G22" s="41">
        <v>6.1</v>
      </c>
      <c r="H22" s="41">
        <v>10.1</v>
      </c>
      <c r="I22" s="136" t="s">
        <v>470</v>
      </c>
    </row>
    <row r="23" spans="2:9" ht="19.5" customHeight="1" x14ac:dyDescent="0.45">
      <c r="B23" s="130" t="s">
        <v>471</v>
      </c>
      <c r="C23" s="131">
        <v>87</v>
      </c>
      <c r="D23" s="132" t="s">
        <v>468</v>
      </c>
      <c r="E23" s="132" t="s">
        <v>469</v>
      </c>
      <c r="F23" s="133">
        <v>0.9</v>
      </c>
      <c r="G23" s="133">
        <v>6.1</v>
      </c>
      <c r="H23" s="133">
        <v>10.1</v>
      </c>
      <c r="I23" s="132" t="s">
        <v>470</v>
      </c>
    </row>
    <row r="24" spans="2:9" ht="19.5" customHeight="1" x14ac:dyDescent="0.45">
      <c r="B24" s="134" t="s">
        <v>472</v>
      </c>
      <c r="C24" s="135">
        <v>45.5</v>
      </c>
      <c r="D24" s="136" t="s">
        <v>473</v>
      </c>
      <c r="E24" s="136" t="s">
        <v>474</v>
      </c>
      <c r="F24" s="41">
        <v>0.6</v>
      </c>
      <c r="G24" s="41">
        <v>4.4000000000000004</v>
      </c>
      <c r="H24" s="41">
        <v>5.3</v>
      </c>
      <c r="I24" s="141">
        <v>-0.316</v>
      </c>
    </row>
  </sheetData>
  <mergeCells count="3">
    <mergeCell ref="B1:J1"/>
    <mergeCell ref="B2:J2"/>
    <mergeCell ref="B16:J16"/>
  </mergeCells>
  <pageMargins left="0.75" right="0.75" top="1" bottom="1" header="0.511811023622047" footer="0.511811023622047"/>
  <pageSetup paperSize="9" orientation="portrait" horizontalDpi="300" verticalDpi="300"/>
  <ignoredErrors>
    <ignoredError sqref="D7 D9 I19:I2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392B"/>
  </sheetPr>
  <dimension ref="B1:H93"/>
  <sheetViews>
    <sheetView showGridLines="0" zoomScaleNormal="100" workbookViewId="0">
      <pane xSplit="2" ySplit="5" topLeftCell="C6" activePane="bottomRight" state="frozen"/>
      <selection pane="topRight" activeCell="C1" sqref="C1"/>
      <selection pane="bottomLeft" activeCell="A6" sqref="A6"/>
      <selection pane="bottomRight" activeCell="C19" sqref="C19"/>
    </sheetView>
  </sheetViews>
  <sheetFormatPr defaultColWidth="8.6640625" defaultRowHeight="14.25" x14ac:dyDescent="0.45"/>
  <cols>
    <col min="1" max="1" width="3" customWidth="1"/>
    <col min="2" max="2" width="38" customWidth="1"/>
    <col min="3" max="3" width="37.6640625" customWidth="1"/>
    <col min="4" max="8" width="13" customWidth="1"/>
    <col min="9" max="9" width="3" customWidth="1"/>
  </cols>
  <sheetData>
    <row r="1" spans="2:8" ht="25.5" customHeight="1" x14ac:dyDescent="0.45">
      <c r="B1" s="191" t="s">
        <v>475</v>
      </c>
      <c r="C1" s="191"/>
      <c r="D1" s="191"/>
      <c r="E1" s="191"/>
      <c r="F1" s="191"/>
      <c r="G1" s="191"/>
      <c r="H1" s="191"/>
    </row>
    <row r="5" spans="2:8" ht="21.75" customHeight="1" x14ac:dyDescent="0.45">
      <c r="B5" s="4"/>
      <c r="C5" s="4" t="s">
        <v>329</v>
      </c>
      <c r="D5" s="4" t="s">
        <v>330</v>
      </c>
      <c r="E5" s="4" t="s">
        <v>331</v>
      </c>
      <c r="F5" s="4" t="s">
        <v>332</v>
      </c>
      <c r="G5" s="4" t="s">
        <v>333</v>
      </c>
      <c r="H5" s="4" t="s">
        <v>476</v>
      </c>
    </row>
    <row r="6" spans="2:8" ht="19.5" customHeight="1" x14ac:dyDescent="0.45">
      <c r="B6" s="193" t="s">
        <v>477</v>
      </c>
      <c r="C6" s="193"/>
      <c r="D6" s="193"/>
      <c r="E6" s="193"/>
      <c r="F6" s="193"/>
      <c r="G6" s="193"/>
      <c r="H6" s="193"/>
    </row>
    <row r="7" spans="2:8" ht="18" customHeight="1" x14ac:dyDescent="0.45">
      <c r="B7" s="142" t="s">
        <v>478</v>
      </c>
      <c r="C7" s="37">
        <v>66.540000000000006</v>
      </c>
      <c r="D7" s="37"/>
      <c r="E7" s="37"/>
      <c r="F7" s="37"/>
      <c r="G7" s="37"/>
      <c r="H7" s="37"/>
    </row>
    <row r="8" spans="2:8" ht="18" customHeight="1" x14ac:dyDescent="0.45">
      <c r="B8" s="143" t="s">
        <v>317</v>
      </c>
      <c r="C8" s="36">
        <v>58.14</v>
      </c>
      <c r="D8" s="36"/>
      <c r="E8" s="36"/>
      <c r="F8" s="36"/>
      <c r="G8" s="36"/>
      <c r="H8" s="36"/>
    </row>
    <row r="9" spans="2:8" ht="18" customHeight="1" x14ac:dyDescent="0.45">
      <c r="B9" s="22" t="s">
        <v>479</v>
      </c>
      <c r="C9" s="23">
        <f>C7*C8</f>
        <v>3868.6356000000005</v>
      </c>
      <c r="D9" s="23"/>
      <c r="E9" s="23"/>
      <c r="F9" s="23"/>
      <c r="G9" s="23"/>
      <c r="H9" s="23"/>
    </row>
    <row r="10" spans="2:8" ht="18" customHeight="1" x14ac:dyDescent="0.45">
      <c r="B10" s="143" t="s">
        <v>480</v>
      </c>
      <c r="C10" s="36">
        <v>3974</v>
      </c>
      <c r="D10" s="36"/>
      <c r="E10" s="36"/>
      <c r="F10" s="36"/>
      <c r="G10" s="36"/>
      <c r="H10" s="36"/>
    </row>
    <row r="11" spans="2:8" ht="18" customHeight="1" x14ac:dyDescent="0.45">
      <c r="B11" s="22" t="s">
        <v>481</v>
      </c>
      <c r="C11" s="23">
        <f>C9+C10</f>
        <v>7842.6356000000005</v>
      </c>
      <c r="D11" s="23"/>
      <c r="E11" s="23"/>
      <c r="F11" s="23"/>
      <c r="G11" s="23"/>
      <c r="H11" s="23"/>
    </row>
    <row r="12" spans="2:8" ht="18" customHeight="1" x14ac:dyDescent="0.45">
      <c r="B12" s="143" t="s">
        <v>482</v>
      </c>
      <c r="C12" s="36">
        <v>1490</v>
      </c>
      <c r="D12" s="36"/>
      <c r="E12" s="36"/>
      <c r="F12" s="36"/>
      <c r="G12" s="36"/>
      <c r="H12" s="36"/>
    </row>
    <row r="13" spans="2:8" ht="18" customHeight="1" x14ac:dyDescent="0.45">
      <c r="B13" s="94" t="s">
        <v>147</v>
      </c>
      <c r="C13" s="144">
        <f>C11/C12</f>
        <v>5.263513825503356</v>
      </c>
      <c r="D13" s="144"/>
      <c r="E13" s="144"/>
      <c r="F13" s="144"/>
      <c r="G13" s="144"/>
      <c r="H13" s="144"/>
    </row>
    <row r="15" spans="2:8" ht="19.5" customHeight="1" x14ac:dyDescent="0.45">
      <c r="B15" s="193" t="s">
        <v>483</v>
      </c>
      <c r="C15" s="193"/>
      <c r="D15" s="193"/>
      <c r="E15" s="193"/>
      <c r="F15" s="193"/>
      <c r="G15" s="193"/>
      <c r="H15" s="193"/>
    </row>
    <row r="16" spans="2:8" ht="18" customHeight="1" x14ac:dyDescent="0.45">
      <c r="B16" s="142" t="s">
        <v>484</v>
      </c>
      <c r="C16" s="30">
        <f>C11*0.5</f>
        <v>3921.3178000000003</v>
      </c>
      <c r="D16" s="30"/>
      <c r="E16" s="30"/>
      <c r="F16" s="30"/>
      <c r="G16" s="30"/>
      <c r="H16" s="30"/>
    </row>
    <row r="17" spans="2:8" ht="18" customHeight="1" x14ac:dyDescent="0.45">
      <c r="B17" s="143" t="s">
        <v>485</v>
      </c>
      <c r="C17" s="36">
        <f>C11*0.4</f>
        <v>3137.0542400000004</v>
      </c>
      <c r="D17" s="36"/>
      <c r="E17" s="36"/>
      <c r="F17" s="36"/>
      <c r="G17" s="36"/>
      <c r="H17" s="36"/>
    </row>
    <row r="18" spans="2:8" ht="18" customHeight="1" x14ac:dyDescent="0.45">
      <c r="B18" s="22" t="s">
        <v>47</v>
      </c>
      <c r="C18" s="23">
        <f>C16+C17</f>
        <v>7058.3720400000002</v>
      </c>
      <c r="D18" s="23"/>
      <c r="E18" s="23"/>
      <c r="F18" s="23"/>
      <c r="G18" s="23"/>
      <c r="H18" s="23"/>
    </row>
    <row r="19" spans="2:8" ht="18" customHeight="1" x14ac:dyDescent="0.45">
      <c r="B19" s="143" t="s">
        <v>486</v>
      </c>
      <c r="C19" s="36">
        <f>C11*0.1</f>
        <v>784.2635600000001</v>
      </c>
      <c r="D19" s="36"/>
      <c r="E19" s="36"/>
      <c r="F19" s="36"/>
      <c r="G19" s="36"/>
      <c r="H19" s="36"/>
    </row>
    <row r="20" spans="2:8" ht="18" customHeight="1" x14ac:dyDescent="0.45">
      <c r="B20" s="22" t="s">
        <v>487</v>
      </c>
      <c r="C20" s="23">
        <f>C18+C19</f>
        <v>7842.6356000000005</v>
      </c>
      <c r="D20" s="23"/>
      <c r="E20" s="23"/>
      <c r="F20" s="23"/>
      <c r="G20" s="23"/>
      <c r="H20" s="23"/>
    </row>
    <row r="21" spans="2:8" ht="18" customHeight="1" x14ac:dyDescent="0.45">
      <c r="B21" s="62" t="s">
        <v>488</v>
      </c>
      <c r="C21" s="44" t="s">
        <v>489</v>
      </c>
      <c r="D21" s="44"/>
      <c r="E21" s="44"/>
      <c r="F21" s="44"/>
      <c r="G21" s="44"/>
      <c r="H21" s="44"/>
    </row>
    <row r="23" spans="2:8" ht="19.5" customHeight="1" x14ac:dyDescent="0.45">
      <c r="B23" s="193" t="s">
        <v>490</v>
      </c>
      <c r="C23" s="193"/>
      <c r="D23" s="193"/>
      <c r="E23" s="193"/>
      <c r="F23" s="193"/>
      <c r="G23" s="193"/>
      <c r="H23" s="193"/>
    </row>
    <row r="24" spans="2:8" ht="18" customHeight="1" x14ac:dyDescent="0.45">
      <c r="B24" s="145" t="s">
        <v>217</v>
      </c>
      <c r="C24" s="146">
        <v>10460</v>
      </c>
      <c r="D24" s="146">
        <f>C24*1.025</f>
        <v>10721.499999999998</v>
      </c>
      <c r="E24" s="146">
        <f>D24*1.025</f>
        <v>10989.537499999997</v>
      </c>
      <c r="F24" s="146">
        <f>E24*1.025</f>
        <v>11264.275937499995</v>
      </c>
      <c r="G24" s="146">
        <f>F24*1.025</f>
        <v>11545.882835937495</v>
      </c>
      <c r="H24" s="146">
        <f>G24*1.025</f>
        <v>11834.529906835931</v>
      </c>
    </row>
    <row r="25" spans="2:8" ht="18" customHeight="1" x14ac:dyDescent="0.45">
      <c r="B25" s="143" t="s">
        <v>403</v>
      </c>
      <c r="C25" s="25">
        <v>0.14699999999999999</v>
      </c>
      <c r="D25" s="25">
        <v>0.14000000000000001</v>
      </c>
      <c r="E25" s="25">
        <v>0.14000000000000001</v>
      </c>
      <c r="F25" s="25">
        <v>0.14000000000000001</v>
      </c>
      <c r="G25" s="25">
        <v>0.14000000000000001</v>
      </c>
      <c r="H25" s="25">
        <v>0.14000000000000001</v>
      </c>
    </row>
    <row r="26" spans="2:8" ht="18" customHeight="1" x14ac:dyDescent="0.45">
      <c r="B26" s="22" t="s">
        <v>336</v>
      </c>
      <c r="C26" s="23">
        <f t="shared" ref="C26:H26" si="0">C24*C25</f>
        <v>1537.62</v>
      </c>
      <c r="D26" s="23">
        <f t="shared" si="0"/>
        <v>1501.01</v>
      </c>
      <c r="E26" s="23">
        <f t="shared" si="0"/>
        <v>1538.5352499999997</v>
      </c>
      <c r="F26" s="23">
        <f t="shared" si="0"/>
        <v>1576.9986312499996</v>
      </c>
      <c r="G26" s="23">
        <f t="shared" si="0"/>
        <v>1616.4235970312495</v>
      </c>
      <c r="H26" s="23">
        <f t="shared" si="0"/>
        <v>1656.8341869570304</v>
      </c>
    </row>
    <row r="27" spans="2:8" ht="18" customHeight="1" x14ac:dyDescent="0.45">
      <c r="B27" s="24" t="s">
        <v>343</v>
      </c>
      <c r="C27" s="89">
        <f t="shared" ref="C27:H27" si="1">-C24*0.045</f>
        <v>-470.7</v>
      </c>
      <c r="D27" s="89">
        <f t="shared" si="1"/>
        <v>-482.46749999999992</v>
      </c>
      <c r="E27" s="89">
        <f t="shared" si="1"/>
        <v>-494.52918749999981</v>
      </c>
      <c r="F27" s="89">
        <f t="shared" si="1"/>
        <v>-506.89241718749975</v>
      </c>
      <c r="G27" s="89">
        <f t="shared" si="1"/>
        <v>-519.56472761718726</v>
      </c>
      <c r="H27" s="89">
        <f t="shared" si="1"/>
        <v>-532.55384580761688</v>
      </c>
    </row>
    <row r="28" spans="2:8" ht="18" customHeight="1" x14ac:dyDescent="0.45">
      <c r="B28" s="29" t="s">
        <v>491</v>
      </c>
      <c r="C28" s="33">
        <f t="shared" ref="C28:H28" si="2">-C26*0.24</f>
        <v>-369.02879999999993</v>
      </c>
      <c r="D28" s="33">
        <f t="shared" si="2"/>
        <v>-360.24239999999998</v>
      </c>
      <c r="E28" s="33">
        <f t="shared" si="2"/>
        <v>-369.24845999999991</v>
      </c>
      <c r="F28" s="33">
        <f t="shared" si="2"/>
        <v>-378.47967149999988</v>
      </c>
      <c r="G28" s="33">
        <f t="shared" si="2"/>
        <v>-387.94166328749986</v>
      </c>
      <c r="H28" s="33">
        <f t="shared" si="2"/>
        <v>-397.6402048696873</v>
      </c>
    </row>
    <row r="29" spans="2:8" ht="18" customHeight="1" x14ac:dyDescent="0.45">
      <c r="B29" s="24" t="s">
        <v>492</v>
      </c>
      <c r="C29" s="89">
        <f t="shared" ref="C29:H29" si="3">-C24*0.008</f>
        <v>-83.68</v>
      </c>
      <c r="D29" s="89">
        <f t="shared" si="3"/>
        <v>-85.771999999999991</v>
      </c>
      <c r="E29" s="89">
        <f t="shared" si="3"/>
        <v>-87.916299999999978</v>
      </c>
      <c r="F29" s="89">
        <f t="shared" si="3"/>
        <v>-90.114207499999964</v>
      </c>
      <c r="G29" s="89">
        <f t="shared" si="3"/>
        <v>-92.367062687499967</v>
      </c>
      <c r="H29" s="89">
        <f t="shared" si="3"/>
        <v>-94.676239254687445</v>
      </c>
    </row>
    <row r="30" spans="2:8" ht="18" customHeight="1" x14ac:dyDescent="0.45">
      <c r="B30" s="22" t="s">
        <v>493</v>
      </c>
      <c r="C30" s="23">
        <f t="shared" ref="C30:H30" si="4">C26+C27+C28+C29</f>
        <v>614.21119999999996</v>
      </c>
      <c r="D30" s="23">
        <f t="shared" si="4"/>
        <v>572.52809999999999</v>
      </c>
      <c r="E30" s="23">
        <f t="shared" si="4"/>
        <v>586.84130249999998</v>
      </c>
      <c r="F30" s="23">
        <f t="shared" si="4"/>
        <v>601.51233506250014</v>
      </c>
      <c r="G30" s="23">
        <f t="shared" si="4"/>
        <v>616.55014343906237</v>
      </c>
      <c r="H30" s="23">
        <f t="shared" si="4"/>
        <v>631.96389702503882</v>
      </c>
    </row>
    <row r="32" spans="2:8" ht="19.5" customHeight="1" x14ac:dyDescent="0.45">
      <c r="B32" s="193" t="s">
        <v>494</v>
      </c>
      <c r="C32" s="193"/>
      <c r="D32" s="193"/>
      <c r="E32" s="193"/>
      <c r="F32" s="193"/>
      <c r="G32" s="193"/>
      <c r="H32" s="193"/>
    </row>
    <row r="33" spans="2:8" ht="18" customHeight="1" x14ac:dyDescent="0.45">
      <c r="B33" s="29" t="s">
        <v>495</v>
      </c>
      <c r="C33" s="33">
        <f>C16</f>
        <v>3921.3178000000003</v>
      </c>
      <c r="D33" s="33">
        <f>C35</f>
        <v>-274.49224600000002</v>
      </c>
      <c r="E33" s="33">
        <f>D35</f>
        <v>19.214457220000003</v>
      </c>
      <c r="F33" s="33">
        <f>E35</f>
        <v>-1.3450120054000003</v>
      </c>
      <c r="G33" s="33">
        <f>F35</f>
        <v>9.4150840378000034E-2</v>
      </c>
      <c r="H33" s="33">
        <f>G35</f>
        <v>-6.5905588264600027E-3</v>
      </c>
    </row>
    <row r="34" spans="2:8" ht="18" customHeight="1" x14ac:dyDescent="0.45">
      <c r="B34" s="24" t="s">
        <v>496</v>
      </c>
      <c r="C34" s="89">
        <f t="shared" ref="C34:H34" si="5">-C33*0.07</f>
        <v>-274.49224600000002</v>
      </c>
      <c r="D34" s="89">
        <f t="shared" si="5"/>
        <v>19.214457220000003</v>
      </c>
      <c r="E34" s="89">
        <f t="shared" si="5"/>
        <v>-1.3450120054000003</v>
      </c>
      <c r="F34" s="89">
        <f t="shared" si="5"/>
        <v>9.4150840378000034E-2</v>
      </c>
      <c r="G34" s="89">
        <f t="shared" si="5"/>
        <v>-6.5905588264600027E-3</v>
      </c>
      <c r="H34" s="89">
        <f t="shared" si="5"/>
        <v>4.6133911785220023E-4</v>
      </c>
    </row>
    <row r="35" spans="2:8" ht="18" customHeight="1" x14ac:dyDescent="0.45">
      <c r="B35" s="29" t="s">
        <v>497</v>
      </c>
      <c r="C35" s="33">
        <f t="shared" ref="C35:H35" si="6">-C33*0.07</f>
        <v>-274.49224600000002</v>
      </c>
      <c r="D35" s="33">
        <f t="shared" si="6"/>
        <v>19.214457220000003</v>
      </c>
      <c r="E35" s="33">
        <f t="shared" si="6"/>
        <v>-1.3450120054000003</v>
      </c>
      <c r="F35" s="33">
        <f t="shared" si="6"/>
        <v>9.4150840378000034E-2</v>
      </c>
      <c r="G35" s="33">
        <f t="shared" si="6"/>
        <v>-6.5905588264600027E-3</v>
      </c>
      <c r="H35" s="33">
        <f t="shared" si="6"/>
        <v>4.6133911785220023E-4</v>
      </c>
    </row>
    <row r="36" spans="2:8" ht="18" customHeight="1" x14ac:dyDescent="0.45">
      <c r="B36" s="34" t="s">
        <v>498</v>
      </c>
      <c r="C36" s="35">
        <f t="shared" ref="C36:H36" si="7">C33+C35</f>
        <v>3646.825554</v>
      </c>
      <c r="D36" s="35">
        <f t="shared" si="7"/>
        <v>-255.27778878000001</v>
      </c>
      <c r="E36" s="35">
        <f t="shared" si="7"/>
        <v>17.869445214600002</v>
      </c>
      <c r="F36" s="35">
        <f t="shared" si="7"/>
        <v>-1.2508611650220003</v>
      </c>
      <c r="G36" s="35">
        <f t="shared" si="7"/>
        <v>8.7560281551540026E-2</v>
      </c>
      <c r="H36" s="35">
        <f t="shared" si="7"/>
        <v>-6.1292197086078026E-3</v>
      </c>
    </row>
    <row r="37" spans="2:8" ht="18" customHeight="1" x14ac:dyDescent="0.45">
      <c r="B37" s="29" t="s">
        <v>499</v>
      </c>
      <c r="C37" s="33">
        <f>C17</f>
        <v>3137.0542400000004</v>
      </c>
      <c r="D37" s="33">
        <f>C39</f>
        <v>3137.0542400000004</v>
      </c>
      <c r="E37" s="33">
        <f>D39</f>
        <v>3137.0542400000004</v>
      </c>
      <c r="F37" s="33">
        <f>E39</f>
        <v>3137.0542400000004</v>
      </c>
      <c r="G37" s="33">
        <f>F39</f>
        <v>3137.0542400000004</v>
      </c>
      <c r="H37" s="33">
        <f>G39</f>
        <v>3137.0542400000004</v>
      </c>
    </row>
    <row r="38" spans="2:8" ht="18" customHeight="1" x14ac:dyDescent="0.45">
      <c r="B38" s="24" t="s">
        <v>500</v>
      </c>
      <c r="C38" s="89">
        <f t="shared" ref="C38:H38" si="8">-C37*0.11</f>
        <v>-345.07596640000003</v>
      </c>
      <c r="D38" s="89">
        <f t="shared" si="8"/>
        <v>-345.07596640000003</v>
      </c>
      <c r="E38" s="89">
        <f t="shared" si="8"/>
        <v>-345.07596640000003</v>
      </c>
      <c r="F38" s="89">
        <f t="shared" si="8"/>
        <v>-345.07596640000003</v>
      </c>
      <c r="G38" s="89">
        <f t="shared" si="8"/>
        <v>-345.07596640000003</v>
      </c>
      <c r="H38" s="89">
        <f t="shared" si="8"/>
        <v>-345.07596640000003</v>
      </c>
    </row>
    <row r="39" spans="2:8" ht="18" customHeight="1" x14ac:dyDescent="0.45">
      <c r="B39" s="22" t="s">
        <v>501</v>
      </c>
      <c r="C39" s="23">
        <f t="shared" ref="C39:H39" si="9">C37</f>
        <v>3137.0542400000004</v>
      </c>
      <c r="D39" s="23">
        <f t="shared" si="9"/>
        <v>3137.0542400000004</v>
      </c>
      <c r="E39" s="23">
        <f t="shared" si="9"/>
        <v>3137.0542400000004</v>
      </c>
      <c r="F39" s="23">
        <f t="shared" si="9"/>
        <v>3137.0542400000004</v>
      </c>
      <c r="G39" s="23">
        <f t="shared" si="9"/>
        <v>3137.0542400000004</v>
      </c>
      <c r="H39" s="23">
        <f t="shared" si="9"/>
        <v>3137.0542400000004</v>
      </c>
    </row>
    <row r="40" spans="2:8" ht="18" customHeight="1" x14ac:dyDescent="0.45">
      <c r="B40" s="34" t="s">
        <v>502</v>
      </c>
      <c r="C40" s="35">
        <f t="shared" ref="C40:H40" si="10">C36+C39</f>
        <v>6783.8797940000004</v>
      </c>
      <c r="D40" s="35">
        <f t="shared" si="10"/>
        <v>2881.7764512200006</v>
      </c>
      <c r="E40" s="35">
        <f t="shared" si="10"/>
        <v>3154.9236852146005</v>
      </c>
      <c r="F40" s="35">
        <f t="shared" si="10"/>
        <v>3135.8033788349785</v>
      </c>
      <c r="G40" s="35">
        <f t="shared" si="10"/>
        <v>3137.1418002815522</v>
      </c>
      <c r="H40" s="35">
        <f t="shared" si="10"/>
        <v>3137.0481107802916</v>
      </c>
    </row>
    <row r="41" spans="2:8" ht="18" customHeight="1" x14ac:dyDescent="0.45">
      <c r="B41" s="29" t="s">
        <v>503</v>
      </c>
      <c r="C41" s="33">
        <f t="shared" ref="C41:H41" si="11">C34+C38</f>
        <v>-619.56821239999999</v>
      </c>
      <c r="D41" s="33">
        <f t="shared" si="11"/>
        <v>-325.86150918000004</v>
      </c>
      <c r="E41" s="33">
        <f t="shared" si="11"/>
        <v>-346.42097840540004</v>
      </c>
      <c r="F41" s="33">
        <f t="shared" si="11"/>
        <v>-344.98181555962202</v>
      </c>
      <c r="G41" s="33">
        <f t="shared" si="11"/>
        <v>-345.0825569588265</v>
      </c>
      <c r="H41" s="33">
        <f t="shared" si="11"/>
        <v>-345.07550506088216</v>
      </c>
    </row>
    <row r="42" spans="2:8" ht="18" customHeight="1" x14ac:dyDescent="0.45">
      <c r="B42" s="24" t="s">
        <v>504</v>
      </c>
      <c r="C42" s="41">
        <f t="shared" ref="C42:H42" si="12">C26/-C41</f>
        <v>2.4817606346261285</v>
      </c>
      <c r="D42" s="41">
        <f t="shared" si="12"/>
        <v>4.6062819870231104</v>
      </c>
      <c r="E42" s="41">
        <f t="shared" si="12"/>
        <v>4.4412300233143647</v>
      </c>
      <c r="F42" s="41">
        <f t="shared" si="12"/>
        <v>4.5712514692747694</v>
      </c>
      <c r="G42" s="41">
        <f t="shared" si="12"/>
        <v>4.684164888763453</v>
      </c>
      <c r="H42" s="41">
        <f t="shared" si="12"/>
        <v>4.8013671288105852</v>
      </c>
    </row>
    <row r="43" spans="2:8" ht="18" customHeight="1" x14ac:dyDescent="0.45">
      <c r="B43" s="29" t="s">
        <v>505</v>
      </c>
      <c r="C43" s="133">
        <f t="shared" ref="C43:H43" si="13">C40/C26</f>
        <v>4.4119351946514751</v>
      </c>
      <c r="D43" s="133">
        <f t="shared" si="13"/>
        <v>1.9198915738202946</v>
      </c>
      <c r="E43" s="133">
        <f t="shared" si="13"/>
        <v>2.0506021459141746</v>
      </c>
      <c r="F43" s="133">
        <f t="shared" si="13"/>
        <v>1.9884629680048616</v>
      </c>
      <c r="G43" s="133">
        <f t="shared" si="13"/>
        <v>1.9407918852726964</v>
      </c>
      <c r="H43" s="133">
        <f t="shared" si="13"/>
        <v>1.8933989505261519</v>
      </c>
    </row>
    <row r="45" spans="2:8" ht="19.5" customHeight="1" x14ac:dyDescent="0.45">
      <c r="B45" s="193" t="s">
        <v>506</v>
      </c>
      <c r="C45" s="193"/>
      <c r="D45" s="193"/>
      <c r="E45" s="193"/>
      <c r="F45" s="193"/>
      <c r="G45" s="193"/>
      <c r="H45" s="193"/>
    </row>
    <row r="46" spans="2:8" ht="18" customHeight="1" x14ac:dyDescent="0.45">
      <c r="B46" s="22" t="s">
        <v>507</v>
      </c>
      <c r="C46" s="23"/>
      <c r="D46" s="23"/>
      <c r="E46" s="23"/>
      <c r="F46" s="23"/>
      <c r="G46" s="23"/>
      <c r="H46" s="23">
        <f>H26</f>
        <v>1656.8341869570304</v>
      </c>
    </row>
    <row r="47" spans="2:8" ht="18" customHeight="1" x14ac:dyDescent="0.45">
      <c r="B47" s="24" t="s">
        <v>508</v>
      </c>
      <c r="C47" s="36"/>
      <c r="D47" s="36"/>
      <c r="E47" s="36"/>
      <c r="F47" s="36"/>
      <c r="G47" s="36"/>
      <c r="H47" s="89">
        <f>H46*5.5</f>
        <v>9112.5880282636681</v>
      </c>
    </row>
    <row r="48" spans="2:8" ht="18" customHeight="1" x14ac:dyDescent="0.45">
      <c r="B48" s="22" t="s">
        <v>509</v>
      </c>
      <c r="C48" s="23"/>
      <c r="D48" s="23"/>
      <c r="E48" s="23"/>
      <c r="F48" s="23"/>
      <c r="G48" s="23"/>
      <c r="H48" s="23">
        <f>H46*9</f>
        <v>14911.507682613274</v>
      </c>
    </row>
    <row r="49" spans="2:8" ht="18" customHeight="1" x14ac:dyDescent="0.45">
      <c r="B49" s="24" t="s">
        <v>510</v>
      </c>
      <c r="C49" s="36"/>
      <c r="D49" s="36"/>
      <c r="E49" s="36"/>
      <c r="F49" s="36"/>
      <c r="G49" s="36"/>
      <c r="H49" s="89">
        <f>H46*13</f>
        <v>21538.844430441393</v>
      </c>
    </row>
    <row r="50" spans="2:8" ht="18" customHeight="1" x14ac:dyDescent="0.45">
      <c r="B50" s="29" t="s">
        <v>511</v>
      </c>
      <c r="C50" s="30"/>
      <c r="D50" s="30"/>
      <c r="E50" s="30"/>
      <c r="F50" s="30"/>
      <c r="G50" s="30"/>
      <c r="H50" s="33">
        <f>H40</f>
        <v>3137.0481107802916</v>
      </c>
    </row>
    <row r="51" spans="2:8" ht="18" customHeight="1" x14ac:dyDescent="0.45">
      <c r="B51" s="24" t="s">
        <v>512</v>
      </c>
      <c r="C51" s="36"/>
      <c r="D51" s="36"/>
      <c r="E51" s="36"/>
      <c r="F51" s="36"/>
      <c r="G51" s="36"/>
      <c r="H51" s="89">
        <f>H47+H50</f>
        <v>12249.63613904396</v>
      </c>
    </row>
    <row r="52" spans="2:8" ht="18" customHeight="1" x14ac:dyDescent="0.45">
      <c r="B52" s="22" t="s">
        <v>513</v>
      </c>
      <c r="C52" s="23"/>
      <c r="D52" s="23"/>
      <c r="E52" s="23"/>
      <c r="F52" s="23"/>
      <c r="G52" s="23"/>
      <c r="H52" s="23">
        <f>H48+H50</f>
        <v>18048.555793393563</v>
      </c>
    </row>
    <row r="53" spans="2:8" ht="18" customHeight="1" x14ac:dyDescent="0.45">
      <c r="B53" s="24" t="s">
        <v>514</v>
      </c>
      <c r="C53" s="36"/>
      <c r="D53" s="36"/>
      <c r="E53" s="36"/>
      <c r="F53" s="36"/>
      <c r="G53" s="36"/>
      <c r="H53" s="89">
        <f>H49+H50</f>
        <v>24675.892541221685</v>
      </c>
    </row>
    <row r="55" spans="2:8" ht="19.5" customHeight="1" x14ac:dyDescent="0.45">
      <c r="B55" s="193" t="s">
        <v>515</v>
      </c>
      <c r="C55" s="193"/>
      <c r="D55" s="193"/>
      <c r="E55" s="193"/>
      <c r="F55" s="193"/>
      <c r="G55" s="193"/>
      <c r="H55" s="193"/>
    </row>
    <row r="56" spans="2:8" ht="18" customHeight="1" x14ac:dyDescent="0.45">
      <c r="B56" s="142" t="s">
        <v>516</v>
      </c>
      <c r="C56" s="30">
        <f>C19</f>
        <v>784.2635600000001</v>
      </c>
      <c r="D56" s="30"/>
      <c r="E56" s="30"/>
      <c r="F56" s="30"/>
      <c r="G56" s="30"/>
      <c r="H56" s="30"/>
    </row>
    <row r="57" spans="2:8" ht="19.5" customHeight="1" x14ac:dyDescent="0.45">
      <c r="B57" s="214" t="s">
        <v>517</v>
      </c>
      <c r="C57" s="214"/>
      <c r="D57" s="214"/>
      <c r="E57" s="214"/>
      <c r="F57" s="214"/>
      <c r="G57" s="214"/>
      <c r="H57" s="214"/>
    </row>
    <row r="58" spans="2:8" ht="18" customHeight="1" x14ac:dyDescent="0.45">
      <c r="B58" s="147" t="s">
        <v>518</v>
      </c>
      <c r="C58" s="148"/>
      <c r="D58" s="148"/>
      <c r="E58" s="148"/>
      <c r="F58" s="148"/>
      <c r="G58" s="148"/>
      <c r="H58" s="149">
        <f>H51</f>
        <v>12249.63613904396</v>
      </c>
    </row>
    <row r="59" spans="2:8" ht="18" customHeight="1" x14ac:dyDescent="0.45">
      <c r="B59" s="150" t="s">
        <v>519</v>
      </c>
      <c r="C59" s="151"/>
      <c r="D59" s="151"/>
      <c r="E59" s="151"/>
      <c r="F59" s="151"/>
      <c r="G59" s="151"/>
      <c r="H59" s="151">
        <f>H58/C56</f>
        <v>15.61928510237548</v>
      </c>
    </row>
    <row r="60" spans="2:8" ht="19.5" customHeight="1" x14ac:dyDescent="0.45">
      <c r="B60" s="193" t="s">
        <v>520</v>
      </c>
      <c r="C60" s="193"/>
      <c r="D60" s="193"/>
      <c r="E60" s="193"/>
      <c r="F60" s="193"/>
      <c r="G60" s="193"/>
      <c r="H60" s="193"/>
    </row>
    <row r="61" spans="2:8" ht="18" customHeight="1" x14ac:dyDescent="0.45">
      <c r="B61" s="29" t="s">
        <v>518</v>
      </c>
      <c r="C61" s="30"/>
      <c r="D61" s="30"/>
      <c r="E61" s="30"/>
      <c r="F61" s="30"/>
      <c r="G61" s="30"/>
      <c r="H61" s="33">
        <f>H52</f>
        <v>18048.555793393563</v>
      </c>
    </row>
    <row r="62" spans="2:8" ht="18" customHeight="1" x14ac:dyDescent="0.45">
      <c r="B62" s="22" t="s">
        <v>519</v>
      </c>
      <c r="C62" s="47"/>
      <c r="D62" s="47"/>
      <c r="E62" s="47"/>
      <c r="F62" s="47"/>
      <c r="G62" s="47"/>
      <c r="H62" s="47">
        <f>H61/C56</f>
        <v>23.013380595413054</v>
      </c>
    </row>
    <row r="63" spans="2:8" ht="19.5" customHeight="1" x14ac:dyDescent="0.45">
      <c r="B63" s="215" t="s">
        <v>521</v>
      </c>
      <c r="C63" s="215"/>
      <c r="D63" s="215"/>
      <c r="E63" s="215"/>
      <c r="F63" s="215"/>
      <c r="G63" s="215"/>
      <c r="H63" s="215"/>
    </row>
    <row r="64" spans="2:8" ht="18" customHeight="1" x14ac:dyDescent="0.45">
      <c r="B64" s="152" t="s">
        <v>518</v>
      </c>
      <c r="C64" s="153"/>
      <c r="D64" s="153"/>
      <c r="E64" s="153"/>
      <c r="F64" s="153"/>
      <c r="G64" s="153"/>
      <c r="H64" s="154">
        <f>H53</f>
        <v>24675.892541221685</v>
      </c>
    </row>
    <row r="65" spans="2:8" ht="18" customHeight="1" x14ac:dyDescent="0.45">
      <c r="B65" s="155" t="s">
        <v>519</v>
      </c>
      <c r="C65" s="156"/>
      <c r="D65" s="156"/>
      <c r="E65" s="156"/>
      <c r="F65" s="156"/>
      <c r="G65" s="156"/>
      <c r="H65" s="156">
        <f>H64/C56</f>
        <v>31.463775444598856</v>
      </c>
    </row>
    <row r="66" spans="2:8" ht="18" customHeight="1" x14ac:dyDescent="0.45">
      <c r="B66" s="155" t="s">
        <v>522</v>
      </c>
      <c r="C66" s="157"/>
      <c r="D66" s="157"/>
      <c r="E66" s="157"/>
      <c r="F66" s="157"/>
      <c r="G66" s="157"/>
      <c r="H66" s="157">
        <f>(H64/C56)^(1/5)-1</f>
        <v>0.99325180835788784</v>
      </c>
    </row>
    <row r="70" spans="2:8" ht="19.5" customHeight="1" x14ac:dyDescent="0.45">
      <c r="B70" s="193" t="s">
        <v>523</v>
      </c>
      <c r="C70" s="193"/>
      <c r="D70" s="193"/>
      <c r="E70" s="193"/>
      <c r="F70" s="193"/>
      <c r="G70" s="193"/>
      <c r="H70" s="193"/>
    </row>
    <row r="71" spans="2:8" ht="19.5" customHeight="1" x14ac:dyDescent="0.45">
      <c r="B71" s="113" t="s">
        <v>524</v>
      </c>
      <c r="C71" s="158">
        <v>4</v>
      </c>
      <c r="D71" s="158">
        <v>5.3</v>
      </c>
      <c r="E71" s="158">
        <v>6.5</v>
      </c>
      <c r="F71" s="158">
        <v>8</v>
      </c>
      <c r="G71" s="158">
        <v>10</v>
      </c>
    </row>
    <row r="72" spans="2:8" ht="13.5" customHeight="1" x14ac:dyDescent="0.45">
      <c r="B72" s="115" t="s">
        <v>525</v>
      </c>
    </row>
    <row r="73" spans="2:8" ht="18" customHeight="1" x14ac:dyDescent="0.45">
      <c r="B73" s="4" t="s">
        <v>526</v>
      </c>
      <c r="C73" s="159">
        <v>0.27</v>
      </c>
      <c r="D73" s="160">
        <v>0.11</v>
      </c>
      <c r="E73" s="161" t="s">
        <v>527</v>
      </c>
      <c r="F73" s="162" t="s">
        <v>528</v>
      </c>
      <c r="G73" s="162" t="s">
        <v>529</v>
      </c>
    </row>
    <row r="74" spans="2:8" ht="18" customHeight="1" x14ac:dyDescent="0.45">
      <c r="B74" s="163">
        <v>7</v>
      </c>
      <c r="C74" s="159">
        <v>0.38</v>
      </c>
      <c r="D74" s="159">
        <v>0.21</v>
      </c>
      <c r="E74" s="164">
        <v>0.08</v>
      </c>
      <c r="F74" s="161" t="s">
        <v>530</v>
      </c>
      <c r="G74" s="162" t="s">
        <v>531</v>
      </c>
    </row>
    <row r="75" spans="2:8" ht="18" customHeight="1" x14ac:dyDescent="0.45">
      <c r="B75" s="4" t="s">
        <v>532</v>
      </c>
      <c r="C75" s="159">
        <v>0.53</v>
      </c>
      <c r="D75" s="165">
        <v>0.33</v>
      </c>
      <c r="E75" s="160">
        <v>0.19</v>
      </c>
      <c r="F75" s="164">
        <v>0.09</v>
      </c>
      <c r="G75" s="161" t="s">
        <v>530</v>
      </c>
    </row>
    <row r="76" spans="2:8" ht="18" customHeight="1" x14ac:dyDescent="0.45">
      <c r="B76" s="163">
        <v>11</v>
      </c>
      <c r="C76" s="159">
        <v>0.65</v>
      </c>
      <c r="D76" s="159">
        <v>0.44</v>
      </c>
      <c r="E76" s="159">
        <v>0.28999999999999998</v>
      </c>
      <c r="F76" s="160">
        <v>0.18</v>
      </c>
      <c r="G76" s="164">
        <v>7.0000000000000007E-2</v>
      </c>
    </row>
    <row r="77" spans="2:8" ht="18" customHeight="1" x14ac:dyDescent="0.45">
      <c r="B77" s="4" t="s">
        <v>533</v>
      </c>
      <c r="C77" s="159">
        <v>0.76</v>
      </c>
      <c r="D77" s="159">
        <v>0.54</v>
      </c>
      <c r="E77" s="159">
        <v>0.37</v>
      </c>
      <c r="F77" s="159">
        <v>0.26</v>
      </c>
      <c r="G77" s="160">
        <v>0.14000000000000001</v>
      </c>
    </row>
    <row r="79" spans="2:8" ht="36" customHeight="1" x14ac:dyDescent="0.45">
      <c r="B79" s="216" t="s">
        <v>534</v>
      </c>
      <c r="C79" s="216"/>
      <c r="D79" s="216"/>
      <c r="E79" s="216"/>
      <c r="F79" s="216"/>
      <c r="G79" s="216"/>
      <c r="H79" s="216"/>
    </row>
    <row r="81" spans="2:8" ht="19.5" customHeight="1" x14ac:dyDescent="0.45">
      <c r="B81" s="214" t="s">
        <v>535</v>
      </c>
      <c r="C81" s="214"/>
      <c r="D81" s="214"/>
      <c r="E81" s="214"/>
      <c r="F81" s="214"/>
      <c r="G81" s="214"/>
      <c r="H81" s="214"/>
    </row>
    <row r="82" spans="2:8" ht="27.75" customHeight="1" x14ac:dyDescent="0.45">
      <c r="B82" s="217" t="s">
        <v>536</v>
      </c>
      <c r="C82" s="217"/>
      <c r="D82" s="217"/>
      <c r="E82" s="217"/>
      <c r="F82" s="217"/>
      <c r="G82" s="217"/>
      <c r="H82" s="217"/>
    </row>
    <row r="83" spans="2:8" ht="18" customHeight="1" x14ac:dyDescent="0.45">
      <c r="B83" s="58" t="s">
        <v>537</v>
      </c>
      <c r="C83" s="148">
        <v>9414</v>
      </c>
      <c r="D83" s="148"/>
      <c r="E83" s="148"/>
      <c r="F83" s="148"/>
      <c r="G83" s="148"/>
      <c r="H83" s="148"/>
    </row>
    <row r="84" spans="2:8" ht="18" customHeight="1" x14ac:dyDescent="0.45">
      <c r="B84" s="58" t="s">
        <v>538</v>
      </c>
      <c r="C84" s="166">
        <v>0.127</v>
      </c>
      <c r="D84" s="166"/>
      <c r="E84" s="166"/>
      <c r="F84" s="166"/>
      <c r="G84" s="166"/>
      <c r="H84" s="166"/>
    </row>
    <row r="85" spans="2:8" ht="18" customHeight="1" x14ac:dyDescent="0.45">
      <c r="B85" s="167" t="s">
        <v>539</v>
      </c>
      <c r="C85" s="168">
        <v>1196</v>
      </c>
      <c r="D85" s="168"/>
      <c r="E85" s="168"/>
      <c r="F85" s="168"/>
      <c r="G85" s="168"/>
      <c r="H85" s="168"/>
    </row>
    <row r="86" spans="2:8" ht="18" customHeight="1" x14ac:dyDescent="0.45">
      <c r="B86" s="147" t="s">
        <v>540</v>
      </c>
      <c r="C86" s="148">
        <v>600</v>
      </c>
      <c r="D86" s="148"/>
      <c r="E86" s="148"/>
      <c r="F86" s="148"/>
      <c r="G86" s="148"/>
      <c r="H86" s="148"/>
    </row>
    <row r="87" spans="2:8" ht="18" customHeight="1" x14ac:dyDescent="0.45">
      <c r="B87" s="167" t="s">
        <v>541</v>
      </c>
      <c r="C87" s="169">
        <v>2</v>
      </c>
      <c r="D87" s="169"/>
      <c r="E87" s="169"/>
      <c r="F87" s="169"/>
      <c r="G87" s="169"/>
      <c r="H87" s="169"/>
    </row>
    <row r="88" spans="2:8" ht="18" customHeight="1" x14ac:dyDescent="0.45">
      <c r="B88" s="62" t="s">
        <v>542</v>
      </c>
      <c r="C88" s="44" t="s">
        <v>543</v>
      </c>
      <c r="D88" s="44"/>
      <c r="E88" s="44"/>
      <c r="F88" s="44"/>
      <c r="G88" s="44"/>
      <c r="H88" s="44"/>
    </row>
    <row r="89" spans="2:8" ht="18" customHeight="1" x14ac:dyDescent="0.45">
      <c r="B89" s="58" t="s">
        <v>544</v>
      </c>
      <c r="C89" s="148" t="s">
        <v>545</v>
      </c>
      <c r="D89" s="148"/>
      <c r="E89" s="148"/>
      <c r="F89" s="148"/>
      <c r="G89" s="148"/>
      <c r="H89" s="148"/>
    </row>
    <row r="90" spans="2:8" ht="18" customHeight="1" x14ac:dyDescent="0.45">
      <c r="B90" s="29" t="s">
        <v>546</v>
      </c>
      <c r="C90" s="30" t="s">
        <v>547</v>
      </c>
      <c r="D90" s="30"/>
      <c r="E90" s="30"/>
      <c r="F90" s="30"/>
      <c r="G90" s="30"/>
      <c r="H90" s="30"/>
    </row>
    <row r="91" spans="2:8" ht="18" customHeight="1" x14ac:dyDescent="0.45">
      <c r="B91" s="170" t="s">
        <v>548</v>
      </c>
      <c r="C91" s="44" t="s">
        <v>549</v>
      </c>
      <c r="D91" s="44"/>
      <c r="E91" s="44"/>
      <c r="F91" s="44"/>
      <c r="G91" s="44"/>
      <c r="H91" s="44"/>
    </row>
    <row r="93" spans="2:8" ht="69" customHeight="1" x14ac:dyDescent="0.45">
      <c r="B93" s="218" t="s">
        <v>550</v>
      </c>
      <c r="C93" s="218"/>
      <c r="D93" s="218"/>
      <c r="E93" s="218"/>
      <c r="F93" s="218"/>
      <c r="G93" s="218"/>
      <c r="H93" s="218"/>
    </row>
  </sheetData>
  <mergeCells count="15">
    <mergeCell ref="B70:H70"/>
    <mergeCell ref="B79:H79"/>
    <mergeCell ref="B81:H81"/>
    <mergeCell ref="B82:H82"/>
    <mergeCell ref="B93:H93"/>
    <mergeCell ref="B45:H45"/>
    <mergeCell ref="B55:H55"/>
    <mergeCell ref="B57:H57"/>
    <mergeCell ref="B60:H60"/>
    <mergeCell ref="B63:H63"/>
    <mergeCell ref="B1:H1"/>
    <mergeCell ref="B6:H6"/>
    <mergeCell ref="B15:H15"/>
    <mergeCell ref="B23:H23"/>
    <mergeCell ref="B32:H32"/>
  </mergeCells>
  <pageMargins left="0.75" right="0.75" top="1" bottom="1" header="0.511811023622047" footer="0.511811023622047"/>
  <pageSetup paperSize="9" orientation="portrait" horizontalDpi="300" verticalDpi="300"/>
  <ignoredErrors>
    <ignoredError sqref="E73:G73 F74:G74 G75" numberStoredAsText="1"/>
    <ignoredError sqref="C1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C3E50"/>
  </sheetPr>
  <dimension ref="B1:D14"/>
  <sheetViews>
    <sheetView showGridLines="0" topLeftCell="A4" zoomScaleNormal="100" workbookViewId="0"/>
  </sheetViews>
  <sheetFormatPr defaultColWidth="8.6640625" defaultRowHeight="14.25" x14ac:dyDescent="0.45"/>
  <cols>
    <col min="1" max="1" width="3" customWidth="1"/>
    <col min="2" max="2" width="42" customWidth="1"/>
    <col min="3" max="3" width="56" customWidth="1"/>
    <col min="4" max="4" width="24" customWidth="1"/>
    <col min="5" max="5" width="3" customWidth="1"/>
  </cols>
  <sheetData>
    <row r="1" spans="2:4" ht="25.5" customHeight="1" x14ac:dyDescent="0.45">
      <c r="B1" s="191" t="s">
        <v>551</v>
      </c>
      <c r="C1" s="191"/>
      <c r="D1" s="191"/>
    </row>
    <row r="3" spans="2:4" ht="19.5" customHeight="1" x14ac:dyDescent="0.45">
      <c r="B3" s="219" t="s">
        <v>552</v>
      </c>
      <c r="C3" s="219"/>
      <c r="D3" s="219"/>
    </row>
    <row r="4" spans="2:4" ht="169.5" customHeight="1" x14ac:dyDescent="0.45">
      <c r="B4" s="171" t="s">
        <v>553</v>
      </c>
      <c r="C4" s="172" t="s">
        <v>554</v>
      </c>
      <c r="D4" s="173" t="s">
        <v>555</v>
      </c>
    </row>
    <row r="5" spans="2:4" ht="207.75" customHeight="1" x14ac:dyDescent="0.45">
      <c r="B5" s="171" t="s">
        <v>556</v>
      </c>
      <c r="C5" s="172" t="s">
        <v>557</v>
      </c>
      <c r="D5" s="173" t="s">
        <v>558</v>
      </c>
    </row>
    <row r="6" spans="2:4" ht="195" customHeight="1" x14ac:dyDescent="0.45">
      <c r="B6" s="171" t="s">
        <v>559</v>
      </c>
      <c r="C6" s="172" t="s">
        <v>560</v>
      </c>
      <c r="D6" s="173" t="s">
        <v>561</v>
      </c>
    </row>
    <row r="7" spans="2:4" ht="19.5" customHeight="1" x14ac:dyDescent="0.45">
      <c r="B7" s="220" t="s">
        <v>562</v>
      </c>
      <c r="C7" s="220"/>
      <c r="D7" s="220"/>
    </row>
    <row r="8" spans="2:4" ht="202.5" customHeight="1" x14ac:dyDescent="0.45">
      <c r="B8" s="174" t="s">
        <v>563</v>
      </c>
      <c r="C8" s="175" t="s">
        <v>564</v>
      </c>
      <c r="D8" s="176" t="s">
        <v>565</v>
      </c>
    </row>
    <row r="9" spans="2:4" ht="223.5" customHeight="1" x14ac:dyDescent="0.45">
      <c r="B9" s="174" t="s">
        <v>566</v>
      </c>
      <c r="C9" s="175" t="s">
        <v>567</v>
      </c>
      <c r="D9" s="176" t="s">
        <v>568</v>
      </c>
    </row>
    <row r="10" spans="2:4" ht="144" customHeight="1" x14ac:dyDescent="0.45">
      <c r="B10" s="174" t="s">
        <v>569</v>
      </c>
      <c r="C10" s="175" t="s">
        <v>570</v>
      </c>
      <c r="D10" s="176" t="s">
        <v>571</v>
      </c>
    </row>
    <row r="11" spans="2:4" ht="19.5" customHeight="1" x14ac:dyDescent="0.45">
      <c r="B11" s="221" t="s">
        <v>572</v>
      </c>
      <c r="C11" s="221"/>
      <c r="D11" s="221"/>
    </row>
    <row r="12" spans="2:4" ht="135" customHeight="1" x14ac:dyDescent="0.45">
      <c r="B12" s="177" t="s">
        <v>573</v>
      </c>
      <c r="C12" s="178" t="s">
        <v>574</v>
      </c>
      <c r="D12" s="179" t="s">
        <v>575</v>
      </c>
    </row>
    <row r="13" spans="2:4" ht="183" customHeight="1" x14ac:dyDescent="0.45">
      <c r="B13" s="177" t="s">
        <v>576</v>
      </c>
      <c r="C13" s="178" t="s">
        <v>577</v>
      </c>
      <c r="D13" s="179" t="s">
        <v>578</v>
      </c>
    </row>
    <row r="14" spans="2:4" ht="208.5" customHeight="1" x14ac:dyDescent="0.45">
      <c r="B14" s="177" t="s">
        <v>579</v>
      </c>
      <c r="C14" s="178" t="s">
        <v>580</v>
      </c>
      <c r="D14" s="179" t="s">
        <v>581</v>
      </c>
    </row>
  </sheetData>
  <mergeCells count="4">
    <mergeCell ref="B1:D1"/>
    <mergeCell ref="B3:D3"/>
    <mergeCell ref="B7:D7"/>
    <mergeCell ref="B11:D11"/>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Assumptions</vt:lpstr>
      <vt:lpstr>Historical Financials</vt:lpstr>
      <vt:lpstr>Revenue Bridge</vt:lpstr>
      <vt:lpstr>AI Scenario Analysis</vt:lpstr>
      <vt:lpstr>DCF Model</vt:lpstr>
      <vt:lpstr>Comparable Companies</vt:lpstr>
      <vt:lpstr>LBO Model</vt:lpstr>
      <vt:lpstr>DD Flags</vt:lpstr>
      <vt:lpstr>Investment Thesis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romanos valeontis</cp:lastModifiedBy>
  <cp:revision>0</cp:revision>
  <dcterms:created xsi:type="dcterms:W3CDTF">2026-05-17T22:56:33Z</dcterms:created>
  <dcterms:modified xsi:type="dcterms:W3CDTF">2026-05-22T03:29:06Z</dcterms:modified>
  <dc:language>en-US</dc:language>
</cp:coreProperties>
</file>