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Client Profile" sheetId="2" state="visible" r:id="rId4"/>
    <sheet name="Allocation" sheetId="3" state="visible" r:id="rId5"/>
    <sheet name="Property Schedule" sheetId="4" state="visible" r:id="rId6"/>
    <sheet name="Debt Schedule" sheetId="5" state="visible" r:id="rId7"/>
    <sheet name="Portfolio" sheetId="6" state="visible" r:id="rId8"/>
    <sheet name="IKE Tax" sheetId="7" state="visible" r:id="rId9"/>
    <sheet name="Financial Statements" sheetId="8" state="visible" r:id="rId10"/>
    <sheet name="Ratio Analysis" sheetId="9" state="visible" r:id="rId11"/>
    <sheet name="Projection" sheetId="10" state="visible" r:id="rId12"/>
    <sheet name="Structure Comparison" sheetId="11" state="visible" r:id="rId13"/>
    <sheet name="Checks" sheetId="12" state="visible" r:id="rId14"/>
    <sheet name="Retirement" sheetId="13" state="visible" r:id="rId15"/>
    <sheet name="Protection" sheetId="14" state="visible" r:id="rId16"/>
    <sheet name="Estate" sheetId="15" state="visible" r:id="rId17"/>
    <sheet name="Stress Tests"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<sst xmlns="http://schemas.openxmlformats.org/spreadsheetml/2006/main" count="488" uniqueCount="463">
  <si>
    <t xml:space="preserve">Wealth Plan — Recommended Allocation Model</t>
  </si>
  <si>
    <t xml:space="preserve">Case</t>
  </si>
  <si>
    <t xml:space="preserve">Inherited property liquidation — €1.2m after tax</t>
  </si>
  <si>
    <t xml:space="preserve">Client</t>
  </si>
  <si>
    <t xml:space="preserve">Age 33, married. Salaried, plus one existing rental property</t>
  </si>
  <si>
    <t xml:space="preserve">Stated goal</t>
  </si>
  <si>
    <t xml:space="preserve">€4,000 per month total household income; strong preference for real estate</t>
  </si>
  <si>
    <t xml:space="preserve">Model purpose</t>
  </si>
  <si>
    <t xml:space="preserve">Tests the recommended plan against that goal</t>
  </si>
  <si>
    <t xml:space="preserve">Currency</t>
  </si>
  <si>
    <t xml:space="preserve">EUR unless stated</t>
  </si>
  <si>
    <t xml:space="preserve">Tax basis</t>
  </si>
  <si>
    <t xml:space="preserve">Greek rates, tax year 2026</t>
  </si>
  <si>
    <t xml:space="preserve">Prepared</t>
  </si>
  <si>
    <t xml:space="preserve">September 2026</t>
  </si>
  <si>
    <t xml:space="preserve">Contents</t>
  </si>
  <si>
    <t xml:space="preserve">Client Profile</t>
  </si>
  <si>
    <t xml:space="preserve">Position, goals and constraints as stated.</t>
  </si>
  <si>
    <t xml:space="preserve">Allocation</t>
  </si>
  <si>
    <t xml:space="preserve">How the €1.2m is deployed under the recommendation.</t>
  </si>
  <si>
    <t xml:space="preserve">Property Schedule</t>
  </si>
  <si>
    <t xml:space="preserve">Four rental units held through an ΙΚΕ, plus the existing property.</t>
  </si>
  <si>
    <t xml:space="preserve">Debt Schedule</t>
  </si>
  <si>
    <t xml:space="preserve">Mortgage amortisation across the three financed units.</t>
  </si>
  <si>
    <t xml:space="preserve">Portfolio</t>
  </si>
  <si>
    <t xml:space="preserve">Investment allocation and expected income.</t>
  </si>
  <si>
    <t xml:space="preserve">Financial Statements</t>
  </si>
  <si>
    <t xml:space="preserve">Balance sheet and income statement, before and after.</t>
  </si>
  <si>
    <t xml:space="preserve">Ratio Analysis</t>
  </si>
  <si>
    <t xml:space="preserve">Standard personal finance ratios with assessment.</t>
  </si>
  <si>
    <t xml:space="preserve">Cash Flow Projection</t>
  </si>
  <si>
    <t xml:space="preserve">Twenty-year household income against the €4,000 goal.</t>
  </si>
  <si>
    <t xml:space="preserve">Structure Comparison</t>
  </si>
  <si>
    <t xml:space="preserve">Personal ownership against ΙΚΕ — the decision that matters most.</t>
  </si>
  <si>
    <t xml:space="preserve">Checks</t>
  </si>
  <si>
    <t xml:space="preserve">Integrity checks.</t>
  </si>
  <si>
    <t xml:space="preserve">Conventions</t>
  </si>
  <si>
    <t xml:space="preserve">Blue figures are inputs</t>
  </si>
  <si>
    <t xml:space="preserve">Black figures are calculated</t>
  </si>
  <si>
    <t xml:space="preserve">Shaded rows are subtotals</t>
  </si>
  <si>
    <t xml:space="preserve">Educational case study prepared for a portfolio. Figures are illustrative and the client is not identified. This is not investment, tax or legal advice, and any real decision should be taken with licensed Greek tax and legal counsel.</t>
  </si>
  <si>
    <t xml:space="preserve">Client Profile, Goals and Constraints</t>
  </si>
  <si>
    <t xml:space="preserve">Position</t>
  </si>
  <si>
    <t xml:space="preserve">Age</t>
  </si>
  <si>
    <t xml:space="preserve">Long horizon. Supports growth assets alongside income.</t>
  </si>
  <si>
    <t xml:space="preserve">Marital status</t>
  </si>
  <si>
    <t xml:space="preserve">Married</t>
  </si>
  <si>
    <t xml:space="preserve">Client monthly salary</t>
  </si>
  <si>
    <t xml:space="preserve">Net.</t>
  </si>
  <si>
    <t xml:space="preserve">Spouse monthly salary</t>
  </si>
  <si>
    <t xml:space="preserve">Excluded from the plan. Separate finances; her income does not fund the objective.</t>
  </si>
  <si>
    <t xml:space="preserve">Office suite owned outright — net income</t>
  </si>
  <si>
    <t xml:space="preserve">Small office suite in Athens, inherited and owned outright. No mortgage.</t>
  </si>
  <si>
    <t xml:space="preserve">Capital received</t>
  </si>
  <si>
    <t xml:space="preserve">After tax. Proceeds from liquidation of inherited property held jointly with family.</t>
  </si>
  <si>
    <t xml:space="preserve">Current housing</t>
  </si>
  <si>
    <t xml:space="preserve">Renting</t>
  </si>
  <si>
    <t xml:space="preserve">Wants to own outright.</t>
  </si>
  <si>
    <t xml:space="preserve">Stated goals</t>
  </si>
  <si>
    <t xml:space="preserve">•  Target household income of €5,200 per month, from all sources combined.</t>
  </si>
  <si>
    <t xml:space="preserve">•  Own the primary residence outright, no mortgage on the home.</t>
  </si>
  <si>
    <t xml:space="preserve">•  Strong preference for real estate. Comfortable with the asset, understands it.</t>
  </si>
  <si>
    <t xml:space="preserve">•  Not opposed to equities but has no experience of them.</t>
  </si>
  <si>
    <t xml:space="preserve">•  Cash flow is the priority over capital growth.</t>
  </si>
  <si>
    <t xml:space="preserve">Constraints and risks identified</t>
  </si>
  <si>
    <t xml:space="preserve">•  The capital came from liquidating jointly inherited property because the heirs could not hold it together. Rebuilding a concentrated, illiquid property position recreates that problem.</t>
  </si>
  <si>
    <t xml:space="preserve">•  At three or more rental properties, Greek rental income is reclassified as business activity. The plan involves four. The structure decision is therefore not optional.</t>
  </si>
  <si>
    <t xml:space="preserve">•  For individuals, mortgage interest is not deductible against rental income. Only a 5% deemed repairs allowance applies. Leverage held personally is materially less efficient.</t>
  </si>
  <si>
    <t xml:space="preserve">•  Rental income is taxed on a progressive scale to 45%. Dividends are taxed at 5%. The asset the client prefers is the one the tax system treats worst.</t>
  </si>
  <si>
    <t xml:space="preserve">•  The goal is achievable almost entirely through property. That does not make it advisable.</t>
  </si>
  <si>
    <t xml:space="preserve">Deployment of Capital</t>
  </si>
  <si>
    <t xml:space="preserve">Capital available</t>
  </si>
  <si>
    <t xml:space="preserve">Uses</t>
  </si>
  <si>
    <t xml:space="preserve">Primary residence, purchased outright</t>
  </si>
  <si>
    <t xml:space="preserve">No mortgage on the home, as the client wishes.</t>
  </si>
  <si>
    <t xml:space="preserve">Equity into three financed rental units</t>
  </si>
  <si>
    <t xml:space="preserve">30% deposit on 3 × €175,000. Held through an ΙΚΕ.</t>
  </si>
  <si>
    <t xml:space="preserve">Short-let property, Crete, purchased outright</t>
  </si>
  <si>
    <t xml:space="preserve">Unlevered. Short-let income is more volatile than a three-year lease.</t>
  </si>
  <si>
    <t xml:space="preserve">Acquisition costs across all five purchases</t>
  </si>
  <si>
    <t xml:space="preserve">Transfer tax at 3%, notary, legal, engineer.</t>
  </si>
  <si>
    <t xml:space="preserve">Furnishing and setup</t>
  </si>
  <si>
    <t xml:space="preserve">Short-let fit-out and two residential units.</t>
  </si>
  <si>
    <t xml:space="preserve">Emergency reserve</t>
  </si>
  <si>
    <t xml:space="preserve">Roughly twelve months of household fixed costs, held in cash.</t>
  </si>
  <si>
    <t xml:space="preserve">Immediate household expenditure</t>
  </si>
  <si>
    <t xml:space="preserve">Agreed with the client. Not an investment.</t>
  </si>
  <si>
    <t xml:space="preserve">Investment portfolio</t>
  </si>
  <si>
    <t xml:space="preserve">The residual. Deployed across public and private markets.</t>
  </si>
  <si>
    <t xml:space="preserve">Total deployed</t>
  </si>
  <si>
    <t xml:space="preserve">Resulting exposure</t>
  </si>
  <si>
    <t xml:space="preserve">Gross property value controlled</t>
  </si>
  <si>
    <t xml:space="preserve">Includes the financed units at full value, not at equity.</t>
  </si>
  <si>
    <t xml:space="preserve">Mortgage debt raised</t>
  </si>
  <si>
    <t xml:space="preserve">Property equity deployed</t>
  </si>
  <si>
    <t xml:space="preserve">Loan to value across the portfolio</t>
  </si>
  <si>
    <t xml:space="preserve">Moderate. The home and the Crete unit carry no debt.</t>
  </si>
  <si>
    <t xml:space="preserve">Rental Property Schedule</t>
  </si>
  <si>
    <t xml:space="preserve">Unit 1</t>
  </si>
  <si>
    <t xml:space="preserve">Unit 2</t>
  </si>
  <si>
    <t xml:space="preserve">Unit 3 (office)</t>
  </si>
  <si>
    <t xml:space="preserve">Crete short-let</t>
  </si>
  <si>
    <t xml:space="preserve">Existing (personal)</t>
  </si>
  <si>
    <t xml:space="preserve">Total</t>
  </si>
  <si>
    <t xml:space="preserve">Purchase price</t>
  </si>
  <si>
    <t xml:space="preserve">Office suite already owned outright; no cost in this plan.</t>
  </si>
  <si>
    <t xml:space="preserve">Ownership</t>
  </si>
  <si>
    <t xml:space="preserve">ΙΚΕ</t>
  </si>
  <si>
    <t xml:space="preserve">Personal</t>
  </si>
  <si>
    <t xml:space="preserve">Four units through the company. Crossing three units makes this a business by law, not by choice.</t>
  </si>
  <si>
    <t xml:space="preserve">Monthly rent</t>
  </si>
  <si>
    <t xml:space="preserve">Office commands a modest premium. Crete is short-let, modelled below.</t>
  </si>
  <si>
    <t xml:space="preserve">Annual long-let rent</t>
  </si>
  <si>
    <t xml:space="preserve">Short-let average daily rate</t>
  </si>
  <si>
    <t xml:space="preserve">Crete, seasonal.</t>
  </si>
  <si>
    <t xml:space="preserve">Short-let occupancy</t>
  </si>
  <si>
    <t xml:space="preserve">Short-let gross revenue</t>
  </si>
  <si>
    <t xml:space="preserve">Gross rental revenue</t>
  </si>
  <si>
    <t xml:space="preserve">Existing property gross, consistent with the €6,500 net the client reports.</t>
  </si>
  <si>
    <t xml:space="preserve">Operating costs</t>
  </si>
  <si>
    <t xml:space="preserve">Vacancy and bad debt</t>
  </si>
  <si>
    <t xml:space="preserve">1% on the long lets — three-year contracts make voids rare. ZERO on the short-let: occupancy is already applied in the revenue line above, so a vacancy allowance here would double-count it.</t>
  </si>
  <si>
    <t xml:space="preserve">Management and platform costs</t>
  </si>
  <si>
    <t xml:space="preserve">Short-let only: 20% management plus 16.5% platform commission, per the client's own experience.</t>
  </si>
  <si>
    <t xml:space="preserve">ENFIA</t>
  </si>
  <si>
    <t xml:space="preserve">Calculated below from zone price and floor area, not estimated.</t>
  </si>
  <si>
    <t xml:space="preserve">Insurance</t>
  </si>
  <si>
    <t xml:space="preserve">Buildings and liability cover.</t>
  </si>
  <si>
    <t xml:space="preserve">Maintenance reserve</t>
  </si>
  <si>
    <t xml:space="preserve">Athens long lets: modest reserve only, the tenant handles minor repairs. Crete: cleaning, linen, consumables and repairs at 13.5% of gross, which with management and platform fees takes total short-let costs to roughly half of revenue.</t>
  </si>
  <si>
    <t xml:space="preserve">Total operating costs</t>
  </si>
  <si>
    <t xml:space="preserve">Net operating income</t>
  </si>
  <si>
    <t xml:space="preserve">Net yield on cost</t>
  </si>
  <si>
    <t xml:space="preserve">Before financing and before tax.</t>
  </si>
  <si>
    <t xml:space="preserve">ENFIA calculation — charged on zone price per square metre, not market value</t>
  </si>
  <si>
    <t xml:space="preserve">The basic tax runs from €2.00/m² in zones up to €750/m² to €16.20/m² above €5,000/m², adjusted for age, floor and frontage. Properties insured against natural disaster receive a further reduction. Market value is irrelevant to the calculation.</t>
  </si>
  <si>
    <t xml:space="preserve">Floor area (m²)</t>
  </si>
  <si>
    <t xml:space="preserve">Zone price (€/m²)</t>
  </si>
  <si>
    <t xml:space="preserve">Τιμή ζώνης from the AADE tables, unchanged since 1 January 2022.</t>
  </si>
  <si>
    <t xml:space="preserve">Basic tax (€/m²)</t>
  </si>
  <si>
    <t xml:space="preserve">Statutory scale.</t>
  </si>
  <si>
    <t xml:space="preserve">Age, floor and frontage coefficient</t>
  </si>
  <si>
    <t xml:space="preserve">Composite adjustment. Older buildings and lower floors reduce the charge.</t>
  </si>
  <si>
    <t xml:space="preserve">ENFIA before reduction</t>
  </si>
  <si>
    <t xml:space="preserve">Insurance reduction</t>
  </si>
  <si>
    <t xml:space="preserve">All properties in the plan are insured against natural disaster, which qualifies for a reduction.</t>
  </si>
  <si>
    <t xml:space="preserve">ENFIA payable</t>
  </si>
  <si>
    <t xml:space="preserve">Mortgage Schedule — Three Financed Units</t>
  </si>
  <si>
    <t xml:space="preserve">Total borrowed</t>
  </si>
  <si>
    <t xml:space="preserve">70% loan to value on three units of €175,000.</t>
  </si>
  <si>
    <t xml:space="preserve">Interest rate</t>
  </si>
  <si>
    <t xml:space="preserve">Assumed. Achievable on investment property at this LTV.</t>
  </si>
  <si>
    <t xml:space="preserve">Term (years)</t>
  </si>
  <si>
    <t xml:space="preserve">Voluntary annual overpayment</t>
  </si>
  <si>
    <t xml:space="preserve">Client's own suggestion. Modelled across the three loans combined.</t>
  </si>
  <si>
    <t xml:space="preserve">Scheduled annual payment</t>
  </si>
  <si>
    <t xml:space="preserve">Total annual debt service</t>
  </si>
  <si>
    <t xml:space="preserve">Including the voluntary overpayment.</t>
  </si>
  <si>
    <t xml:space="preserve">Amortisation</t>
  </si>
  <si>
    <t xml:space="preserve">Year</t>
  </si>
  <si>
    <t xml:space="preserve">Opening</t>
  </si>
  <si>
    <t xml:space="preserve">Interest</t>
  </si>
  <si>
    <t xml:space="preserve">Principal</t>
  </si>
  <si>
    <t xml:space="preserve">Closing</t>
  </si>
  <si>
    <t xml:space="preserve">Years to clear</t>
  </si>
  <si>
    <t xml:space="preserve">With the voluntary overpayment. Without it the term runs the full twenty years.</t>
  </si>
  <si>
    <t xml:space="preserve">Investment Portfolio</t>
  </si>
  <si>
    <t xml:space="preserve">Sleeve</t>
  </si>
  <si>
    <t xml:space="preserve">Weight</t>
  </si>
  <si>
    <t xml:space="preserve">Amount</t>
  </si>
  <si>
    <t xml:space="preserve">Income yield</t>
  </si>
  <si>
    <t xml:space="preserve">Gross income</t>
  </si>
  <si>
    <t xml:space="preserve">Tax rate</t>
  </si>
  <si>
    <t xml:space="preserve">Net income</t>
  </si>
  <si>
    <t xml:space="preserve">Global equity ETF — accumulating</t>
  </si>
  <si>
    <t xml:space="preserve">Growth engine. Accumulating, so no distribution and no annual tax event.</t>
  </si>
  <si>
    <t xml:space="preserve">Dividend / income ETF</t>
  </si>
  <si>
    <t xml:space="preserve">Carries the cash-flow objective. Greek dividend tax is 5%.</t>
  </si>
  <si>
    <t xml:space="preserve">Private markets (evergreen / ELTIF)</t>
  </si>
  <si>
    <t xml:space="preserve">Adds return from an asset class the client cannot otherwise access. Illiquid; sized accordingly.</t>
  </si>
  <si>
    <t xml:space="preserve">Commodities and gold</t>
  </si>
  <si>
    <t xml:space="preserve">Inflation and geopolitical hedge, in place of bonds given the long horizon.</t>
  </si>
  <si>
    <t xml:space="preserve">Money market and short bonds</t>
  </si>
  <si>
    <t xml:space="preserve">Liquidity and dry powder. Interest is taxed at 15%.</t>
  </si>
  <si>
    <t xml:space="preserve">Portfolio assumptions</t>
  </si>
  <si>
    <t xml:space="preserve">Expected total return, equity sleeve</t>
  </si>
  <si>
    <t xml:space="preserve">Long-run nominal. Used in the projection.</t>
  </si>
  <si>
    <t xml:space="preserve">Expected total return, private markets</t>
  </si>
  <si>
    <t xml:space="preserve">Blended portfolio return</t>
  </si>
  <si>
    <t xml:space="preserve">Weighted across sleeves.</t>
  </si>
  <si>
    <t xml:space="preserve">Company Tax Computation — ΙΚΕ</t>
  </si>
  <si>
    <t xml:space="preserve">Why the company exists</t>
  </si>
  <si>
    <t xml:space="preserve">At three or more rental properties, Greek rental income is reclassified as business activity. This plan holds four. The company is therefore not a tax scheme but the structure the law imposes. Having crossed that line, the client should cross it deliberately, because a company can deduct mortgage interest and actual costs, which an individual cannot.</t>
  </si>
  <si>
    <t xml:space="preserve">Computation</t>
  </si>
  <si>
    <t xml:space="preserve">Rental revenue, company-held units</t>
  </si>
  <si>
    <t xml:space="preserve">Excludes the existing property, which stays in personal ownership.</t>
  </si>
  <si>
    <t xml:space="preserve">    Operating costs</t>
  </si>
  <si>
    <t xml:space="preserve">    Mortgage interest</t>
  </si>
  <si>
    <t xml:space="preserve">Year 1. Deductible for a company; NOT deductible for an individual — the core of the structure case.</t>
  </si>
  <si>
    <t xml:space="preserve">    Accounting and company administration</t>
  </si>
  <si>
    <t xml:space="preserve">Annual cost of running the ΙΚΕ. A genuine cost of the structure.</t>
  </si>
  <si>
    <t xml:space="preserve">    Depreciation</t>
  </si>
  <si>
    <t xml:space="preserve">Statutory tax depreciation: buildings at 4% per year on 80% of cost, land excluded. This is a deduction Greek tax law grants regardless of market value — it is not a claim that the property is falling in value. It is NON-CASH: it reduces the tax bill without reducing cash flow. Removing it would raise the tax charge and cost the client money. The offset is a lower tax base on a future sale, currently academic while capital gains tax on property remains suspended.</t>
  </si>
  <si>
    <t xml:space="preserve">Taxable profit</t>
  </si>
  <si>
    <t xml:space="preserve">Corporate tax at 22%</t>
  </si>
  <si>
    <t xml:space="preserve">Losses in early years carry forward.</t>
  </si>
  <si>
    <t xml:space="preserve">Profit after tax</t>
  </si>
  <si>
    <t xml:space="preserve">Cash available to the household</t>
  </si>
  <si>
    <t xml:space="preserve">Net operating income, company units</t>
  </si>
  <si>
    <t xml:space="preserve">    Less debt service</t>
  </si>
  <si>
    <t xml:space="preserve">Free cash flow</t>
  </si>
  <si>
    <t xml:space="preserve">Dividend tax at 5% on distribution</t>
  </si>
  <si>
    <t xml:space="preserve">Net to household</t>
  </si>
  <si>
    <t xml:space="preserve">Distributions are limited by distributable profit as well as by cash. In the early years depreciation suppresses accounting profit, so part of this may need to be retained or drawn in another permitted form. A point for the client's accountant.</t>
  </si>
  <si>
    <t xml:space="preserve">Economic return versus cash return — why the properties look like they earn little</t>
  </si>
  <si>
    <t xml:space="preserve">The cash reaching the household looks small against the capital deployed. It is not that the properties earn little. It is that most of what they earn is used to repay mortgage principal, which is not a cost — it converts income into equity. The distinction matters, because a client looking only at his bank balance will conclude the property is underperforming when it is not.</t>
  </si>
  <si>
    <t xml:space="preserve">    Less interest</t>
  </si>
  <si>
    <t xml:space="preserve">A genuine cost. Deductible in the company; not deductible personally.</t>
  </si>
  <si>
    <t xml:space="preserve">    Less tax paid</t>
  </si>
  <si>
    <t xml:space="preserve">Economic return after tax</t>
  </si>
  <si>
    <t xml:space="preserve">What the property portfolio genuinely earns.</t>
  </si>
  <si>
    <t xml:space="preserve">    Of which received as cash</t>
  </si>
  <si>
    <t xml:space="preserve">    Of which repaid as principal</t>
  </si>
  <si>
    <t xml:space="preserve">Not a cost. This buys equity in the properties and is recovered in full when they are sold or when the debt is cleared.</t>
  </si>
  <si>
    <t xml:space="preserve">Income-producing property equity</t>
  </si>
  <si>
    <t xml:space="preserve">Excludes the primary residence, which produces no income.</t>
  </si>
  <si>
    <t xml:space="preserve">Cash yield on equity</t>
  </si>
  <si>
    <t xml:space="preserve">What it feels like.</t>
  </si>
  <si>
    <t xml:space="preserve">Economic return on equity</t>
  </si>
  <si>
    <t xml:space="preserve">What it actually is.</t>
  </si>
  <si>
    <t xml:space="preserve">Total return including principal</t>
  </si>
  <si>
    <t xml:space="preserve">Before any capital appreciation. Greek residential has risen well above this in recent years, though that is not modelled.</t>
  </si>
  <si>
    <t xml:space="preserve">Personal Financial Statements — After the Plan</t>
  </si>
  <si>
    <t xml:space="preserve">Balance Sheet</t>
  </si>
  <si>
    <t xml:space="preserve">Income Statement — Year 1</t>
  </si>
  <si>
    <t xml:space="preserve">All figures in EUR</t>
  </si>
  <si>
    <t xml:space="preserve">All figures in EUR, annual</t>
  </si>
  <si>
    <t xml:space="preserve">Assets</t>
  </si>
  <si>
    <t xml:space="preserve">Income</t>
  </si>
  <si>
    <t xml:space="preserve">    Cash and emergency reserve</t>
  </si>
  <si>
    <t xml:space="preserve">    Salary — client only</t>
  </si>
  <si>
    <t xml:space="preserve">The client and his wife keep separate finances. Her income is excluded throughout, and the €4,000 objective is his alone.</t>
  </si>
  <si>
    <t xml:space="preserve">    Investment portfolio</t>
  </si>
  <si>
    <t xml:space="preserve">    Existing rental, net of tax</t>
  </si>
  <si>
    <t xml:space="preserve">Taxed personally on the 15% band.</t>
  </si>
  <si>
    <t xml:space="preserve">    Primary residence</t>
  </si>
  <si>
    <t xml:space="preserve">    Distribution from ΙΚΕ</t>
  </si>
  <si>
    <t xml:space="preserve">    Rental property held in ΙΚΕ</t>
  </si>
  <si>
    <t xml:space="preserve">    Portfolio income, net of tax</t>
  </si>
  <si>
    <t xml:space="preserve">    Office suite, owned outright</t>
  </si>
  <si>
    <t xml:space="preserve">Client's own income</t>
  </si>
  <si>
    <t xml:space="preserve">Owned outright, no mortgage. Let on a commercial lease.</t>
  </si>
  <si>
    <t xml:space="preserve">    Island property — 20% share</t>
  </si>
  <si>
    <t xml:space="preserve">20% of a property worth c.€600,000, rising to 50% in ten years. That step-up adds roughly €180,000 to net worth without any further capital from him — a material asset the plan should not ignore.</t>
  </si>
  <si>
    <t xml:space="preserve">Total assets</t>
  </si>
  <si>
    <t xml:space="preserve">    Spouse salary</t>
  </si>
  <si>
    <t xml:space="preserve">Separate finances, but it counts toward the household objective.</t>
  </si>
  <si>
    <t xml:space="preserve">Household monthly income</t>
  </si>
  <si>
    <t xml:space="preserve">Liabilities</t>
  </si>
  <si>
    <t xml:space="preserve">Household goal</t>
  </si>
  <si>
    <t xml:space="preserve">    Mortgages, ΙΚΕ units</t>
  </si>
  <si>
    <t xml:space="preserve">Surplus / (shortfall) vs goal</t>
  </si>
  <si>
    <t xml:space="preserve">Against the €4,000 household objective.</t>
  </si>
  <si>
    <t xml:space="preserve">Total liabilities</t>
  </si>
  <si>
    <t xml:space="preserve">Client's own monthly income</t>
  </si>
  <si>
    <t xml:space="preserve">The figure that matters for his own planning. The €4,000 is the household target; this is his share of it.</t>
  </si>
  <si>
    <t xml:space="preserve">Memo</t>
  </si>
  <si>
    <t xml:space="preserve">Net worth</t>
  </si>
  <si>
    <t xml:space="preserve">    Rent no longer paid</t>
  </si>
  <si>
    <t xml:space="preserve">Owning the home outright removes roughly €800 per month of expense. Not income, but it reduces the income the household needs.</t>
  </si>
  <si>
    <t xml:space="preserve">Effective position vs goal</t>
  </si>
  <si>
    <t xml:space="preserve">Ongoing contributions</t>
  </si>
  <si>
    <t xml:space="preserve">    Monthly investment contribution</t>
  </si>
  <si>
    <t xml:space="preserve">From surplus income, not from the €4,000 objective. This is the wealth-building engine: the objective covers today, this covers twenty years from now.</t>
  </si>
  <si>
    <t xml:space="preserve">    Annual contribution</t>
  </si>
  <si>
    <t xml:space="preserve">    Years to a €60,000 deposit</t>
  </si>
  <si>
    <t xml:space="preserve">30% deposit on a further €200,000 unit. Reached without touching the existing portfolio.</t>
  </si>
  <si>
    <t xml:space="preserve">Emergency fund ratio (months)</t>
  </si>
  <si>
    <t xml:space="preserve">Against roughly €1,750 of monthly non-discretionary spending once the home is owned outright. Generous — arguably over-reserved, and a candidate for partial deployment once the plan settles.</t>
  </si>
  <si>
    <t xml:space="preserve">Debt to assets</t>
  </si>
  <si>
    <t xml:space="preserve">Low. The home and the Crete unit carry no debt.</t>
  </si>
  <si>
    <t xml:space="preserve">ΙΚΕ debt service coverage</t>
  </si>
  <si>
    <t xml:space="preserve">Net operating income over debt service, measured where the debt sits. Lenders want 1.20x or better; this is tight in year 1 and improves every year as rents rise. The household's own income carries no debt.</t>
  </si>
  <si>
    <t xml:space="preserve">Property share of net worth</t>
  </si>
  <si>
    <t xml:space="preserve">THE KEY RATIO. Even after diversifying, property dominates. This is the number to revisit annually.</t>
  </si>
  <si>
    <t xml:space="preserve">Financial assets share of net worth</t>
  </si>
  <si>
    <t xml:space="preserve">The diversification actually achieved.</t>
  </si>
  <si>
    <t xml:space="preserve">Savings rate on income</t>
  </si>
  <si>
    <t xml:space="preserve">Assumed. Salaries continue and are partly reinvested.</t>
  </si>
  <si>
    <t xml:space="preserve">Assessment</t>
  </si>
  <si>
    <t xml:space="preserve">Strengths</t>
  </si>
  <si>
    <t xml:space="preserve">Points to watch</t>
  </si>
  <si>
    <t xml:space="preserve">•  Home owned outright. No housing cost and no repossession risk.</t>
  </si>
  <si>
    <t xml:space="preserve">•  Property still dominates net worth. Diversification has started, not finished.</t>
  </si>
  <si>
    <t xml:space="preserve">•  Twelve months of cash reserve before any asset needs to be sold.</t>
  </si>
  <si>
    <t xml:space="preserve">•  Year 1 income sits below the €4,000 goal. The gap closes, but it exists.</t>
  </si>
  <si>
    <t xml:space="preserve">•  Low leverage overall, and none on the home or the Crete unit.</t>
  </si>
  <si>
    <t xml:space="preserve">•  Four rental units is a business. It requires management or a manager.</t>
  </si>
  <si>
    <t xml:space="preserve">•  Meaningful financial assets for the first time, in a liquid form.</t>
  </si>
  <si>
    <t xml:space="preserve">•  Short-let income in Crete is seasonal and has no lease protection.</t>
  </si>
  <si>
    <t xml:space="preserve">•  Company structure makes the mortgage interest deductible.</t>
  </si>
  <si>
    <t xml:space="preserve">•  Distributions from the ΙΚΕ are limited by distributable profit, not only by cash.</t>
  </si>
  <si>
    <t xml:space="preserve">Household Income Projection</t>
  </si>
  <si>
    <t xml:space="preserve">Income growth assumption</t>
  </si>
  <si>
    <t xml:space="preserve">Applied to salaries and rents.</t>
  </si>
  <si>
    <t xml:space="preserve">Salaries</t>
  </si>
  <si>
    <t xml:space="preserve">Existing rental, net</t>
  </si>
  <si>
    <t xml:space="preserve">ΙΚΕ net operating income</t>
  </si>
  <si>
    <t xml:space="preserve">ΙΚΕ debt service</t>
  </si>
  <si>
    <t xml:space="preserve">ΙΚΕ distribution, net of tax</t>
  </si>
  <si>
    <t xml:space="preserve">Portfolio income, net</t>
  </si>
  <si>
    <t xml:space="preserve">Spouse salary</t>
  </si>
  <si>
    <t xml:space="preserve">Versus €4,000 household goal</t>
  </si>
  <si>
    <t xml:space="preserve">Client's own monthly</t>
  </si>
  <si>
    <t xml:space="preserve">Portfolio value</t>
  </si>
  <si>
    <t xml:space="preserve">Mortgage outstanding</t>
  </si>
  <si>
    <t xml:space="preserve">Annual contribution</t>
  </si>
  <si>
    <t xml:space="preserve">The honest answer to the client's question.</t>
  </si>
  <si>
    <t xml:space="preserve">Portfolio value with contributions</t>
  </si>
  <si>
    <t xml:space="preserve">Net worth, end of period</t>
  </si>
  <si>
    <t xml:space="preserve">Portfolio plus property at 2% annual appreciation, less mortgage debt.</t>
  </si>
  <si>
    <t xml:space="preserve">First year the household goal is met</t>
  </si>
  <si>
    <t xml:space="preserve">Personal Ownership versus ΙΚΕ</t>
  </si>
  <si>
    <t xml:space="preserve">The same four properties, the same rents, the same debt. The only difference is who owns them. For an individual, mortgage interest is not deductible against rental income and the scale runs to 45%. For a company, interest and real costs are deductible and the rate is 22%, plus 5% on distribution.</t>
  </si>
  <si>
    <t xml:space="preserve">Company administration</t>
  </si>
  <si>
    <t xml:space="preserve">–</t>
  </si>
  <si>
    <t xml:space="preserve">A real cost of the structure, and it is small against the saving.</t>
  </si>
  <si>
    <t xml:space="preserve">Mortgage interest</t>
  </si>
  <si>
    <t xml:space="preserve">Cash profit before tax</t>
  </si>
  <si>
    <t xml:space="preserve">Taxable base</t>
  </si>
  <si>
    <t xml:space="preserve">Personal: 95% of gross rent, with no deduction for interest or real costs. Company: actual profit after interest and depreciation.</t>
  </si>
  <si>
    <t xml:space="preserve">Tax charge</t>
  </si>
  <si>
    <t xml:space="preserve">Personal: the 2026 scale of 15 / 25 / 35 / 45. Company: 22% corporate plus 5% on distribution.</t>
  </si>
  <si>
    <t xml:space="preserve">Cash after tax and before debt principal</t>
  </si>
  <si>
    <t xml:space="preserve">Annual advantage of the company</t>
  </si>
  <si>
    <t xml:space="preserve">Recurring, every year, on identical assets. This is the single largest decision in the plan.</t>
  </si>
  <si>
    <t xml:space="preserve">Note the personal column can be negative. Tax is charged on rent that has already gone to the bank as interest, so a leveraged landlord can owe tax on cash they never received. This is the single most misunderstood feature of Greek property investment.</t>
  </si>
  <si>
    <t xml:space="preserve">Two further structure questions</t>
  </si>
  <si>
    <t xml:space="preserve">Should the primary residence also sit inside the ΙΚΕ?</t>
  </si>
  <si>
    <t xml:space="preserve">NO</t>
  </si>
  <si>
    <t xml:space="preserve">•  There is nothing to deduct against. The home produces no income and is being bought outright, so there is no interest and no running cost to set against anything.</t>
  </si>
  <si>
    <t xml:space="preserve">•  It would create a tax charge where none exists. A shareholder living rent-free in a company property is receiving a benefit in kind. He would either pay the company market rent, which the company is then taxed on, or be taxed personally on the deemed benefit.</t>
  </si>
  <si>
    <t xml:space="preserve">•  It forfeits the primary residence reliefs — the first-home transfer tax exemption on purchase, the ENFIA treatment, and the inheritance exemptions that apply to a family home passing to a spouse or children.</t>
  </si>
  <si>
    <t xml:space="preserve">•  On eventual sale, a company disposal is taxed as business profit, whereas personal property capital gains tax remains suspended.</t>
  </si>
  <si>
    <t xml:space="preserve">Should his shares in the two co-owned properties be contributed to the ΙΚΕ?</t>
  </si>
  <si>
    <t xml:space="preserve">NO — NOT WORTH IT</t>
  </si>
  <si>
    <t xml:space="preserve">•  Contributing property to a company is a transfer and triggers 3% transfer tax on the objective value. On the two shares combined that is real money paid for no operating benefit.</t>
  </si>
  <si>
    <t xml:space="preserve">•  The Athens half-share generates modest income taxed in the 15% band personally. The company rate plus distribution tax is not materially better at that level, and would cost the transfer tax to achieve.</t>
  </si>
  <si>
    <t xml:space="preserve">•  The island property is 20% now and 50% in ten years. Moving a partial interest into a company before that step-up completes risks complicating the arrangement that produces it.</t>
  </si>
  <si>
    <t xml:space="preserve">•  Co-owners would be co-owning with a company rather than with him. That changes their position and may require their agreement.</t>
  </si>
  <si>
    <t xml:space="preserve">•  Keeping them personal also preserves diversification of ownership form, which matters if the company ever has a problem.</t>
  </si>
  <si>
    <t xml:space="preserve">The principle underneath both answers: a company earns its keep where there is income to shelter and real costs to deduct. Where there is neither, it adds cost, complexity and tax exposure. The four new rental units meet that test. The family home and the inherited shares do not.</t>
  </si>
  <si>
    <t xml:space="preserve">Integrity Checks</t>
  </si>
  <si>
    <t xml:space="preserve">Check</t>
  </si>
  <si>
    <t xml:space="preserve">Value</t>
  </si>
  <si>
    <t xml:space="preserve">Status</t>
  </si>
  <si>
    <t xml:space="preserve">Capital deployed equals capital available</t>
  </si>
  <si>
    <t xml:space="preserve">Portfolio weights sum to 100%</t>
  </si>
  <si>
    <t xml:space="preserve">Balance sheet net worth positive</t>
  </si>
  <si>
    <t xml:space="preserve">Mortgage fully repaid within term</t>
  </si>
  <si>
    <t xml:space="preserve">ΙΚΕ free cash flow positive in year 1</t>
  </si>
  <si>
    <t xml:space="preserve">Company structure beats personal ownership</t>
  </si>
  <si>
    <t xml:space="preserve">Emergency reserve at least six months</t>
  </si>
  <si>
    <t xml:space="preserve">ΙΚΕ debt service coverage above 1.00x</t>
  </si>
  <si>
    <t xml:space="preserve">Income goal met within the projection</t>
  </si>
  <si>
    <t xml:space="preserve">Retirement and Financial Independence</t>
  </si>
  <si>
    <t xml:space="preserve">The question is not whether he can retire</t>
  </si>
  <si>
    <t xml:space="preserve">He is 33, with 34 years to state pension age. The plan already produces passive income close to his personal spending before any of it compounds. The planning question is therefore not how to fund retirement — that is solved — but what the surplus should be doing instead.</t>
  </si>
  <si>
    <t xml:space="preserve">Assumptions</t>
  </si>
  <si>
    <t xml:space="preserve">Current age</t>
  </si>
  <si>
    <t xml:space="preserve">State pension age</t>
  </si>
  <si>
    <t xml:space="preserve">His personal monthly spending</t>
  </si>
  <si>
    <t xml:space="preserve">Once the home is owned outright. Excludes his wife, who keeps separate finances.</t>
  </si>
  <si>
    <t xml:space="preserve">Monthly spending in retirement</t>
  </si>
  <si>
    <t xml:space="preserve">Higher in real terms: more travel and healthcare, no mortgage.</t>
  </si>
  <si>
    <t xml:space="preserve">Financial independence — passive income against spending</t>
  </si>
  <si>
    <t xml:space="preserve">Passive income, monthly</t>
  </si>
  <si>
    <t xml:space="preserve">Rental, company distributions and portfolio income. Excludes salary entirely. The step up around year 18 is the mortgages clearing — from then the company distributes the full operating income.</t>
  </si>
  <si>
    <t xml:space="preserve">Spending, inflated at 2%</t>
  </si>
  <si>
    <t xml:space="preserve">Surplus / (shortfall)</t>
  </si>
  <si>
    <t xml:space="preserve">Position at state pension age</t>
  </si>
  <si>
    <t xml:space="preserve">Years to pension age</t>
  </si>
  <si>
    <t xml:space="preserve">The €600 per month.</t>
  </si>
  <si>
    <t xml:space="preserve">Portfolio at 67</t>
  </si>
  <si>
    <t xml:space="preserve">Existing portfolio compounded, plus 34 years of contributions.</t>
  </si>
  <si>
    <t xml:space="preserve">Property at 67, debt free</t>
  </si>
  <si>
    <t xml:space="preserve">Appreciating at 2% a year. All mortgages cleared long before.</t>
  </si>
  <si>
    <t xml:space="preserve">Office suite at 67</t>
  </si>
  <si>
    <t xml:space="preserve">Owned outright, appreciating at 2% a year.</t>
  </si>
  <si>
    <t xml:space="preserve">Net worth at 67</t>
  </si>
  <si>
    <t xml:space="preserve">Sustainable withdrawal at 3.5%</t>
  </si>
  <si>
    <t xml:space="preserve">Monthly, from financial assets and property combined.</t>
  </si>
  <si>
    <t xml:space="preserve">Retirement spending need</t>
  </si>
  <si>
    <t xml:space="preserve">Inflated to age 67.</t>
  </si>
  <si>
    <t xml:space="preserve">Coverage of need</t>
  </si>
  <si>
    <t xml:space="preserve">Anything above 1.0x means the need is met.</t>
  </si>
  <si>
    <t xml:space="preserve">What this means</t>
  </si>
  <si>
    <t xml:space="preserve">•  Retirement is not the binding problem. On these assumptions he reaches state pension age with several times what he needs, and passive income covers his personal spending decades earlier.</t>
  </si>
  <si>
    <t xml:space="preserve">•  The €600 a month should therefore not be labelled retirement saving. It is discretionary capital, and it is better framed as optionality: a deposit on a further property, a reserve for an opportunity, or the means to stop working earlier than 67 if he wants to.</t>
  </si>
  <si>
    <t xml:space="preserve">•  The more useful conversation is about when he could stop working, not whether. Once passive income clears his spending with a margin, employment becomes a choice.</t>
  </si>
  <si>
    <t xml:space="preserve">•  The risk in this plan is not running out of money. It is concentration, and the possibility that a single asset class disappoints for a decade. That is what the diversification is for.</t>
  </si>
  <si>
    <t xml:space="preserve">Protection</t>
  </si>
  <si>
    <t xml:space="preserve">His salary is not proportionate to his wealth, because the wealth was inherited rather than earned. That inverts the usual protection analysis: replacing income matters less than usual, and protecting the debt matters more.</t>
  </si>
  <si>
    <t xml:space="preserve">What actually needs protecting</t>
  </si>
  <si>
    <t xml:space="preserve">•  The mortgage debt. If he dies, his wife inherits a leveraged property company. Cover equal to the outstanding balance means she inherits the properties unencumbered instead.</t>
  </si>
  <si>
    <t xml:space="preserve">•  His ability to run the portfolio. Four rental units, a short-let and a company is an operating business. Incapacity is an operational problem before it is a financial one.</t>
  </si>
  <si>
    <t xml:space="preserve">•  The properties themselves. Already insured in the plan, and the insurance earns back part of its cost through the ENFIA reduction.</t>
  </si>
  <si>
    <t xml:space="preserve">•  His salary is the least of it. At €2,500 a month against passive income already near his spending, losing it would be uncomfortable rather than critical.</t>
  </si>
  <si>
    <t xml:space="preserve">Recommended cover</t>
  </si>
  <si>
    <t xml:space="preserve">Decreasing term life cover — sum assured</t>
  </si>
  <si>
    <t xml:space="preserve">Matches the mortgage balance and falls as the debt amortises. The cheapest form of life cover there is, and the only one this situation genuinely requires.</t>
  </si>
  <si>
    <t xml:space="preserve">Matched to the mortgage term.</t>
  </si>
  <si>
    <t xml:space="preserve">Estimated annual premium</t>
  </si>
  <si>
    <t xml:space="preserve">Healthy non-smoker aged 33. Decreasing term is inexpensive because the liability shrinks.</t>
  </si>
  <si>
    <t xml:space="preserve">Income protection — monthly benefit</t>
  </si>
  <si>
    <t xml:space="preserve">Roughly 60% of salary, deferred 6 months. Modest by design: passive income already covers most of his spending, so this insures the gap rather than the whole.</t>
  </si>
  <si>
    <t xml:space="preserve">Critical illness cover</t>
  </si>
  <si>
    <t xml:space="preserve">Lump sum for treatment and adaptation rather than income replacement.</t>
  </si>
  <si>
    <t xml:space="preserve">Total annual protection cost</t>
  </si>
  <si>
    <t xml:space="preserve">As a share of household income</t>
  </si>
  <si>
    <t xml:space="preserve">Well inside the 1–2% of income that protection normally costs.</t>
  </si>
  <si>
    <t xml:space="preserve">The gap insurance cannot close</t>
  </si>
  <si>
    <t xml:space="preserve">If he is incapacitated, someone has to run four rental units, a short-let and a company. No policy solves that. Three things should be in place instead: a power of attorney, a property manager who could step in at short notice, and his wife understanding how the company works and where the documents are. That last one costs nothing and is the most commonly neglected part of any plan.</t>
  </si>
  <si>
    <t xml:space="preserve">Estate</t>
  </si>
  <si>
    <t xml:space="preserve">He has no children and does not plan to. His stated intention is that the home and the short-let pass to his wife, and the remainder to his brother. Greek succession law permits that, but not without a constraint worth understanding.</t>
  </si>
  <si>
    <t xml:space="preserve">The constraint</t>
  </si>
  <si>
    <t xml:space="preserve">•  Greek law reserves a forced share — the νόμιμη μοίρα — for descendants, parents and the surviving spouse. Siblings have no reserved share at all.</t>
  </si>
  <si>
    <t xml:space="preserve">•  With no children, the spouse inherits alongside the second class, which is parents and siblings. Her reserved share is half of what she would take on intestacy, which works out at roughly a quarter of the estate.</t>
  </si>
  <si>
    <t xml:space="preserve">•  If his parents are living they also hold a reserved share. A will leaving everything outside that reserve can be challenged by those entitled to it.</t>
  </si>
  <si>
    <t xml:space="preserve">•  A brother, by contrast, can be given whatever is left over once the reserved shares are satisfied.</t>
  </si>
  <si>
    <t xml:space="preserve">Does the stated intention work?</t>
  </si>
  <si>
    <t xml:space="preserve">Net estate</t>
  </si>
  <si>
    <t xml:space="preserve">Net worth as modelled.</t>
  </si>
  <si>
    <t xml:space="preserve">Intended to spouse — home and short-let</t>
  </si>
  <si>
    <t xml:space="preserve">Per his stated wishes.</t>
  </si>
  <si>
    <t xml:space="preserve">Spouse share of estate</t>
  </si>
  <si>
    <t xml:space="preserve">Spouse reserved share</t>
  </si>
  <si>
    <t xml:space="preserve">Approximate. The exact figure depends on who survives him.</t>
  </si>
  <si>
    <t xml:space="preserve">Intention satisfies the reserved share?</t>
  </si>
  <si>
    <t xml:space="preserve">The plan gives her comfortably more than the minimum, so it stands.</t>
  </si>
  <si>
    <t xml:space="preserve">Actions</t>
  </si>
  <si>
    <t xml:space="preserve">•  Put the intention in a will. Without one, intestacy applies and the outcome is different from what he wants.</t>
  </si>
  <si>
    <t xml:space="preserve">•  Address the company shares explicitly. Property held through an ΙΚΕ passes as shares, not as buildings, and a will that describes physical properties may not achieve what he expects.</t>
  </si>
  <si>
    <t xml:space="preserve">•  Confirm the position if his parents survive him, since their reserved share reduces what is freely disposable.</t>
  </si>
  <si>
    <t xml:space="preserve">•  Review after any change in circumstances. The absence of children is the assumption the whole arrangement rests on.</t>
  </si>
  <si>
    <t xml:space="preserve">Stress Tests</t>
  </si>
  <si>
    <t xml:space="preserve">The base case assumes rents hold, the short-let performs and refinancing is available on reasonable terms. A plan that only shows the good outcome is not a plan. Each scenario below changes one thing.</t>
  </si>
  <si>
    <t xml:space="preserve">Base</t>
  </si>
  <si>
    <t xml:space="preserve">Rates to 6%</t>
  </si>
  <si>
    <t xml:space="preserve">6 months vacant</t>
  </si>
  <si>
    <t xml:space="preserve">Crete to long-let</t>
  </si>
  <si>
    <t xml:space="preserve">Vacancy case: one Athens unit empty six months. Crete case: converted to a long lease at a lower but steadier rent.</t>
  </si>
  <si>
    <t xml:space="preserve">Refinancing case: the whole balance repricing to 6%.</t>
  </si>
  <si>
    <t xml:space="preserve">Debt service</t>
  </si>
  <si>
    <t xml:space="preserve">Debt service coverage</t>
  </si>
  <si>
    <t xml:space="preserve">Below 1.00x means the properties no longer cover their own debt and the shortfall comes from elsewhere.</t>
  </si>
  <si>
    <t xml:space="preserve">Versus €5,200 goal</t>
  </si>
  <si>
    <t xml:space="preserve">Mitigations already in the plan</t>
  </si>
  <si>
    <t xml:space="preserve">•  The €40,000 reserve covers roughly two years of the worst single scenario without selling anything.</t>
  </si>
  <si>
    <t xml:space="preserve">•  The €3,000 voluntary overpayment is discretionary. Suspending it restores that cash immediately.</t>
  </si>
  <si>
    <t xml:space="preserve">•  The home and the Crete unit carry no debt, so a rate shock touches only part of the portfolio.</t>
  </si>
  <si>
    <t xml:space="preserve">•  The investment portfolio is liquid. Property is not, which is precisely why it is there.</t>
  </si>
  <si>
    <t xml:space="preserve">•  Long leases run three years, so the vacancy scenario is a genuine risk but an infrequent one.</t>
  </si>
</sst>
</file>

<file path=xl/styles.xml><?xml version="1.0" encoding="utf-8"?>
<styleSheet xmlns="http://schemas.openxmlformats.org/spreadsheetml/2006/main">
  <numFmts count="18">
    <numFmt numFmtId="164" formatCode="General"/>
    <numFmt numFmtId="165" formatCode="#,##0;\(#,##0\);\–"/>
    <numFmt numFmtId="166" formatCode="@"/>
    <numFmt numFmtId="167" formatCode="\€#,##0;&quot;(€&quot;#,##0\);\–"/>
    <numFmt numFmtId="168" formatCode="0.0%;\(0.0%\);\–"/>
    <numFmt numFmtId="169" formatCode="#,##0"/>
    <numFmt numFmtId="170" formatCode="\€#,##0.00"/>
    <numFmt numFmtId="171" formatCode="0.00"/>
    <numFmt numFmtId="172" formatCode="0%"/>
    <numFmt numFmtId="173" formatCode="0.00%;\(0.00%\);\–"/>
    <numFmt numFmtId="174" formatCode="\€#,##0.00;&quot;(€&quot;#,##0.00\);\–"/>
    <numFmt numFmtId="175" formatCode="#,##0.0"/>
    <numFmt numFmtId="176" formatCode="0.00\x"/>
    <numFmt numFmtId="177" formatCode="0.0\x"/>
    <numFmt numFmtId="178" formatCode="\€#,##0;&quot;(€&quot;#,##0\);\–"/>
    <numFmt numFmtId="179" formatCode="0.0%"/>
    <numFmt numFmtId="180" formatCode="0.00\x"/>
    <numFmt numFmtId="181" formatCode="\€#,##0.00"/>
  </numFmts>
  <fonts count="19">
    <font>
      <sz val="11"/>
      <color theme="1"/>
      <name val="Calibri"/>
      <family val="2"/>
      <charset val="1"/>
    </font>
    <font>
      <sz val="10"/>
      <name val="Arial"/>
      <family val="0"/>
    </font>
    <font>
      <sz val="10"/>
      <name val="Arial"/>
      <family val="0"/>
    </font>
    <font>
      <sz val="10"/>
      <name val="Arial"/>
      <family val="0"/>
    </font>
    <font>
      <b val="true"/>
      <sz val="14"/>
      <color rgb="FFFFFFFF"/>
      <name val="Calibri"/>
      <family val="0"/>
      <charset val="1"/>
    </font>
    <font>
      <b val="true"/>
      <sz val="11"/>
      <color rgb="FF000000"/>
      <name val="Calibri"/>
      <family val="0"/>
      <charset val="1"/>
    </font>
    <font>
      <sz val="11"/>
      <color rgb="FF000000"/>
      <name val="Calibri"/>
      <family val="0"/>
      <charset val="1"/>
    </font>
    <font>
      <b val="true"/>
      <sz val="11"/>
      <color rgb="FF1B3A5C"/>
      <name val="Calibri"/>
      <family val="0"/>
      <charset val="1"/>
    </font>
    <font>
      <sz val="11"/>
      <color rgb="FF0000FF"/>
      <name val="Calibri"/>
      <family val="0"/>
      <charset val="1"/>
    </font>
    <font>
      <i val="true"/>
      <sz val="10"/>
      <color rgb="FF808080"/>
      <name val="Calibri"/>
      <family val="0"/>
      <charset val="1"/>
    </font>
    <font>
      <i val="true"/>
      <sz val="9"/>
      <color rgb="FF808080"/>
      <name val="Calibri"/>
      <family val="0"/>
      <charset val="1"/>
    </font>
    <font>
      <b val="true"/>
      <sz val="11"/>
      <color rgb="FFFFFFFF"/>
      <name val="Calibri"/>
      <family val="0"/>
      <charset val="1"/>
    </font>
    <font>
      <b val="true"/>
      <sz val="12"/>
      <color rgb="FF1B3A5C"/>
      <name val="Calibri"/>
      <family val="0"/>
      <charset val="1"/>
    </font>
    <font>
      <sz val="9"/>
      <color rgb="FF808080"/>
      <name val="Calibri"/>
      <family val="0"/>
      <charset val="1"/>
    </font>
    <font>
      <b val="true"/>
      <sz val="11"/>
      <color rgb="FF1D6642"/>
      <name val="Calibri"/>
      <family val="0"/>
      <charset val="1"/>
    </font>
    <font>
      <b val="true"/>
      <sz val="11"/>
      <color rgb="FF8A382B"/>
      <name val="Calibri"/>
      <family val="0"/>
      <charset val="1"/>
    </font>
    <font>
      <sz val="10"/>
      <color rgb="FF000000"/>
      <name val="Calibri"/>
      <family val="0"/>
      <charset val="1"/>
    </font>
    <font>
      <sz val="11"/>
      <color rgb="FF8A382B"/>
      <name val="Calibri"/>
      <family val="0"/>
      <charset val="1"/>
    </font>
    <font>
      <b val="true"/>
      <sz val="12"/>
      <color rgb="FF000000"/>
      <name val="Calibri"/>
      <family val="0"/>
      <charset val="1"/>
    </font>
  </fonts>
  <fills count="9">
    <fill>
      <patternFill patternType="none"/>
    </fill>
    <fill>
      <patternFill patternType="gray125"/>
    </fill>
    <fill>
      <patternFill patternType="solid">
        <fgColor rgb="FF1B3A5C"/>
        <bgColor rgb="FF12283F"/>
      </patternFill>
    </fill>
    <fill>
      <patternFill patternType="solid">
        <fgColor rgb="FFEAF0F6"/>
        <bgColor rgb="FFF6F8FA"/>
      </patternFill>
    </fill>
    <fill>
      <patternFill patternType="solid">
        <fgColor rgb="FFF6F8FA"/>
        <bgColor rgb="FFFFFFFF"/>
      </patternFill>
    </fill>
    <fill>
      <patternFill patternType="solid">
        <fgColor rgb="FF12283F"/>
        <bgColor rgb="FF1B3A5C"/>
      </patternFill>
    </fill>
    <fill>
      <patternFill patternType="solid">
        <fgColor rgb="FFFFF2CC"/>
        <bgColor rgb="FFF6F8FA"/>
      </patternFill>
    </fill>
    <fill>
      <patternFill patternType="solid">
        <fgColor rgb="FFF8D7DA"/>
        <bgColor rgb="FFDFE4EA"/>
      </patternFill>
    </fill>
    <fill>
      <patternFill patternType="solid">
        <fgColor rgb="FFE2EFDA"/>
        <bgColor rgb="FFDFE4EA"/>
      </patternFill>
    </fill>
  </fills>
  <borders count="4">
    <border diagonalUp="false" diagonalDown="false">
      <left/>
      <right/>
      <top/>
      <bottom/>
      <diagonal/>
    </border>
    <border diagonalUp="false" diagonalDown="false">
      <left/>
      <right/>
      <top style="thin">
        <color rgb="FFDFE4EA"/>
      </top>
      <bottom style="double">
        <color rgb="FFDFE4EA"/>
      </bottom>
      <diagonal/>
    </border>
    <border diagonalUp="false" diagonalDown="false">
      <left style="thin">
        <color rgb="FFDFE4EA"/>
      </left>
      <right style="thin">
        <color rgb="FFDFE4EA"/>
      </right>
      <top style="thin">
        <color rgb="FFDFE4EA"/>
      </top>
      <bottom style="thin">
        <color rgb="FFDFE4EA"/>
      </bottom>
      <diagonal/>
    </border>
    <border diagonalUp="false" diagonalDown="false">
      <left/>
      <right/>
      <top style="thin">
        <color rgb="FFDFE4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3" borderId="0"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7" fontId="5" fillId="4" borderId="1" xfId="0" applyFont="true" applyBorder="tru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8" fontId="6" fillId="0" borderId="0" xfId="0" applyFont="true" applyBorder="false" applyAlignment="true" applyProtection="false">
      <alignment horizontal="general" vertical="bottom" textRotation="0" wrapText="false" indent="0" shrinkToFit="false"/>
      <protection locked="true" hidden="false"/>
    </xf>
    <xf numFmtId="164" fontId="11" fillId="5" borderId="2" xfId="0" applyFont="true" applyBorder="true" applyAlignment="true" applyProtection="false">
      <alignment horizontal="center" vertical="bottom" textRotation="0" wrapText="false" indent="0" shrinkToFit="false"/>
      <protection locked="true" hidden="false"/>
    </xf>
    <xf numFmtId="167" fontId="5" fillId="4" borderId="3" xfId="0" applyFont="true" applyBorder="tru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8" fontId="5" fillId="4" borderId="3"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general" vertical="bottom" textRotation="0" wrapText="false" indent="0" shrinkToFit="false"/>
      <protection locked="true" hidden="false"/>
    </xf>
    <xf numFmtId="172" fontId="8" fillId="0" borderId="0" xfId="0" applyFont="true" applyBorder="false" applyAlignment="true" applyProtection="false">
      <alignment horizontal="general" vertical="bottom" textRotation="0" wrapText="false" indent="0" shrinkToFit="false"/>
      <protection locked="true" hidden="false"/>
    </xf>
    <xf numFmtId="167" fontId="5" fillId="4"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bottom" textRotation="0" wrapText="false" indent="0" shrinkToFit="false"/>
      <protection locked="true" hidden="false"/>
    </xf>
    <xf numFmtId="173" fontId="8"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5" fontId="5" fillId="4" borderId="3" xfId="0" applyFont="true" applyBorder="tru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xf numFmtId="168" fontId="5" fillId="6"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bottom" textRotation="0" wrapText="false" indent="0" shrinkToFit="false"/>
      <protection locked="true" hidden="false"/>
    </xf>
    <xf numFmtId="174" fontId="5" fillId="0" borderId="0" xfId="0" applyFont="true" applyBorder="false" applyAlignment="true" applyProtection="false">
      <alignment horizontal="general" vertical="bottom" textRotation="0" wrapText="false" indent="0" shrinkToFit="false"/>
      <protection locked="true" hidden="false"/>
    </xf>
    <xf numFmtId="174" fontId="8" fillId="0" borderId="0" xfId="0" applyFont="true" applyBorder="false" applyAlignment="true" applyProtection="false">
      <alignment horizontal="general" vertical="bottom" textRotation="0" wrapText="false" indent="0" shrinkToFit="false"/>
      <protection locked="true" hidden="false"/>
    </xf>
    <xf numFmtId="174" fontId="5" fillId="6" borderId="0" xfId="0" applyFont="true" applyBorder="false" applyAlignment="true" applyProtection="false">
      <alignment horizontal="general" vertical="bottom" textRotation="0" wrapText="false" indent="0" shrinkToFit="false"/>
      <protection locked="true" hidden="false"/>
    </xf>
    <xf numFmtId="174" fontId="5" fillId="4" borderId="3" xfId="0" applyFont="true" applyBorder="true" applyAlignment="true" applyProtection="false">
      <alignment horizontal="general" vertical="bottom" textRotation="0" wrapText="false" indent="0" shrinkToFit="false"/>
      <protection locked="true" hidden="false"/>
    </xf>
    <xf numFmtId="164" fontId="7"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75" fontId="0" fillId="0" borderId="0" xfId="0" applyFont="false" applyBorder="false" applyAlignment="true" applyProtection="false">
      <alignment horizontal="general" vertical="bottom" textRotation="0" wrapText="false" indent="0" shrinkToFit="false"/>
      <protection locked="true" hidden="false"/>
    </xf>
    <xf numFmtId="175" fontId="6" fillId="0" borderId="0" xfId="0" applyFont="true" applyBorder="false" applyAlignment="true" applyProtection="false">
      <alignment horizontal="general" vertical="bottom" textRotation="0" wrapText="false" indent="0" shrinkToFit="false"/>
      <protection locked="true" hidden="false"/>
    </xf>
    <xf numFmtId="176" fontId="6"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74" fontId="5" fillId="4" borderId="0" xfId="0" applyFont="true" applyBorder="false" applyAlignment="true" applyProtection="false">
      <alignment horizontal="general" vertical="bottom" textRotation="0" wrapText="false" indent="0" shrinkToFit="false"/>
      <protection locked="true" hidden="false"/>
    </xf>
    <xf numFmtId="174" fontId="0" fillId="0" borderId="0" xfId="0" applyFont="false" applyBorder="false" applyAlignment="true" applyProtection="false">
      <alignment horizontal="general" vertical="bottom" textRotation="0" wrapText="false" indent="0" shrinkToFit="false"/>
      <protection locked="true" hidden="false"/>
    </xf>
    <xf numFmtId="167" fontId="5" fillId="6"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9" fontId="5" fillId="6"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5" fillId="7"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74" fontId="6" fillId="0" borderId="0" xfId="0" applyFont="true" applyBorder="false" applyAlignment="true" applyProtection="false">
      <alignment horizontal="general" vertical="bottom" textRotation="0" wrapText="false" indent="0" shrinkToFit="false"/>
      <protection locked="true" hidden="false"/>
    </xf>
    <xf numFmtId="164" fontId="5" fillId="6" borderId="0" xfId="0" applyFont="true" applyBorder="false" applyAlignment="true" applyProtection="false">
      <alignment horizontal="center" vertical="bottom" textRotation="0" wrapText="false" indent="0" shrinkToFit="false"/>
      <protection locked="true" hidden="false"/>
    </xf>
    <xf numFmtId="164" fontId="18" fillId="8" borderId="0" xfId="0" applyFont="true" applyBorder="true" applyAlignment="true" applyProtection="false">
      <alignment horizontal="center" vertical="bottom" textRotation="0" wrapText="false" indent="0" shrinkToFit="false"/>
      <protection locked="true" hidden="false"/>
    </xf>
    <xf numFmtId="169" fontId="0" fillId="0" borderId="0" xfId="0" applyFont="false" applyBorder="fals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77" fontId="5" fillId="6"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4" fontId="7" fillId="3"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8"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78" fontId="5" fillId="6" borderId="0" xfId="0" applyFont="true" applyBorder="false" applyAlignment="false" applyProtection="false">
      <alignment horizontal="general" vertical="bottom" textRotation="0" wrapText="false" indent="0" shrinkToFit="false"/>
      <protection locked="true" hidden="false"/>
    </xf>
    <xf numFmtId="179" fontId="6" fillId="0" borderId="0" xfId="0" applyFont="true" applyBorder="false" applyAlignment="false" applyProtection="false">
      <alignment horizontal="general" vertical="bottom" textRotation="0" wrapText="false" indent="0" shrinkToFit="false"/>
      <protection locked="true" hidden="false"/>
    </xf>
    <xf numFmtId="179" fontId="8" fillId="0" borderId="0" xfId="0" applyFont="true" applyBorder="false" applyAlignment="false" applyProtection="false">
      <alignment horizontal="general" vertical="bottom" textRotation="0" wrapText="false" indent="0" shrinkToFit="false"/>
      <protection locked="true" hidden="false"/>
    </xf>
    <xf numFmtId="164" fontId="5" fillId="6" borderId="0" xfId="0" applyFont="true" applyBorder="false" applyAlignment="false" applyProtection="false">
      <alignment horizontal="general" vertical="bottom" textRotation="0" wrapText="false" indent="0" shrinkToFit="false"/>
      <protection locked="true" hidden="false"/>
    </xf>
    <xf numFmtId="164" fontId="11" fillId="5" borderId="2" xfId="0" applyFont="true" applyBorder="true" applyAlignment="true" applyProtection="false">
      <alignment horizontal="center" vertical="bottom" textRotation="0" wrapText="true" indent="0" shrinkToFit="false"/>
      <protection locked="true" hidden="false"/>
    </xf>
    <xf numFmtId="178" fontId="6" fillId="0" borderId="2" xfId="0" applyFont="true" applyBorder="true" applyAlignment="false" applyProtection="false">
      <alignment horizontal="general" vertical="bottom" textRotation="0" wrapText="false" indent="0" shrinkToFit="false"/>
      <protection locked="true" hidden="false"/>
    </xf>
    <xf numFmtId="178" fontId="5" fillId="4" borderId="2" xfId="0" applyFont="true" applyBorder="true" applyAlignment="false" applyProtection="false">
      <alignment horizontal="general" vertical="bottom" textRotation="0" wrapText="false" indent="0" shrinkToFit="false"/>
      <protection locked="true" hidden="false"/>
    </xf>
    <xf numFmtId="180" fontId="5" fillId="4" borderId="2" xfId="0" applyFont="true" applyBorder="true" applyAlignment="false" applyProtection="false">
      <alignment horizontal="general" vertical="bottom" textRotation="0" wrapText="false" indent="0" shrinkToFit="false"/>
      <protection locked="true" hidden="false"/>
    </xf>
    <xf numFmtId="181" fontId="5" fillId="4"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8D7DA"/>
        </patternFill>
      </fill>
    </dxf>
    <dxf>
      <fill>
        <patternFill>
          <bgColor rgb="FFE2EFDA"/>
        </patternFill>
      </fill>
    </dxf>
    <dxf>
      <font>
        <name val="Calibri"/>
        <charset val="1"/>
        <family val="0"/>
        <b val="1"/>
        <color rgb="FF006100"/>
        <sz val="11"/>
      </font>
      <fill>
        <patternFill>
          <bgColor rgb="FFE2EFDA"/>
        </patternFill>
      </fill>
    </dxf>
    <dxf>
      <font>
        <name val="Calibri"/>
        <charset val="1"/>
        <family val="0"/>
        <b val="1"/>
        <color rgb="FF9C0006"/>
        <sz val="11"/>
      </font>
      <fill>
        <patternFill>
          <bgColor rgb="FFF8D7DA"/>
        </patternFill>
      </fill>
    </dxf>
    <dxf>
      <fill>
        <patternFill>
          <bgColor rgb="FFF8D7DA"/>
        </patternFill>
      </fill>
    </dxf>
    <dxf>
      <fill>
        <patternFill>
          <bgColor rgb="FFE2EFDA"/>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1D6642"/>
      <rgbColor rgb="FFC0C0C0"/>
      <rgbColor rgb="FF808080"/>
      <rgbColor rgb="FF9999FF"/>
      <rgbColor rgb="FF993366"/>
      <rgbColor rgb="FFFFF2CC"/>
      <rgbColor rgb="FFEAF0F6"/>
      <rgbColor rgb="FF660066"/>
      <rgbColor rgb="FFFF8080"/>
      <rgbColor rgb="FF0066CC"/>
      <rgbColor rgb="FFDFE4EA"/>
      <rgbColor rgb="FF000080"/>
      <rgbColor rgb="FFFF00FF"/>
      <rgbColor rgb="FFFFFF00"/>
      <rgbColor rgb="FF00FFFF"/>
      <rgbColor rgb="FF800080"/>
      <rgbColor rgb="FF800000"/>
      <rgbColor rgb="FF008080"/>
      <rgbColor rgb="FF0000FF"/>
      <rgbColor rgb="FF00CCFF"/>
      <rgbColor rgb="FFF6F8FA"/>
      <rgbColor rgb="FFE2EFDA"/>
      <rgbColor rgb="FFFFFF99"/>
      <rgbColor rgb="FF99CCFF"/>
      <rgbColor rgb="FFFF99CC"/>
      <rgbColor rgb="FFCC99FF"/>
      <rgbColor rgb="FFF8D7DA"/>
      <rgbColor rgb="FF3366FF"/>
      <rgbColor rgb="FF33CCCC"/>
      <rgbColor rgb="FF99CC00"/>
      <rgbColor rgb="FFFFCC00"/>
      <rgbColor rgb="FFFF9900"/>
      <rgbColor rgb="FFFF6600"/>
      <rgbColor rgb="FF666699"/>
      <rgbColor rgb="FF969696"/>
      <rgbColor rgb="FF1B3A5C"/>
      <rgbColor rgb="FF339966"/>
      <rgbColor rgb="FF003300"/>
      <rgbColor rgb="FF333300"/>
      <rgbColor rgb="FF8A382B"/>
      <rgbColor rgb="FF993366"/>
      <rgbColor rgb="FF333399"/>
      <rgbColor rgb="FF1228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G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4"/>
    <col collapsed="false" customWidth="true" hidden="false" outlineLevel="0" max="3" min="3" style="1" width="3"/>
    <col collapsed="false" customWidth="true" hidden="false" outlineLevel="0" max="4" min="4" style="1" width="52"/>
    <col collapsed="false" customWidth="true" hidden="false" outlineLevel="0" max="5" min="5" style="1" width="3"/>
    <col collapsed="false" customWidth="true" hidden="false" outlineLevel="0" max="8" min="6" style="1" width="14"/>
  </cols>
  <sheetData>
    <row r="3" customFormat="false" ht="21.75" hidden="false" customHeight="true" outlineLevel="0" collapsed="false">
      <c r="B3" s="2" t="s">
        <v>0</v>
      </c>
      <c r="C3" s="2"/>
      <c r="D3" s="2"/>
      <c r="E3" s="2"/>
      <c r="F3" s="2"/>
      <c r="G3" s="2"/>
    </row>
    <row r="5" customFormat="false" ht="15" hidden="false" customHeight="true" outlineLevel="0" collapsed="false">
      <c r="B5" s="3" t="s">
        <v>1</v>
      </c>
      <c r="D5" s="4" t="s">
        <v>2</v>
      </c>
    </row>
    <row r="6" customFormat="false" ht="15" hidden="false" customHeight="true" outlineLevel="0" collapsed="false">
      <c r="B6" s="3" t="s">
        <v>3</v>
      </c>
      <c r="D6" s="4" t="s">
        <v>4</v>
      </c>
    </row>
    <row r="7" customFormat="false" ht="15" hidden="false" customHeight="true" outlineLevel="0" collapsed="false">
      <c r="B7" s="3" t="s">
        <v>5</v>
      </c>
      <c r="D7" s="4" t="s">
        <v>6</v>
      </c>
    </row>
    <row r="8" customFormat="false" ht="15" hidden="false" customHeight="true" outlineLevel="0" collapsed="false">
      <c r="B8" s="3" t="s">
        <v>7</v>
      </c>
      <c r="D8" s="4" t="s">
        <v>8</v>
      </c>
    </row>
    <row r="9" customFormat="false" ht="15" hidden="false" customHeight="true" outlineLevel="0" collapsed="false">
      <c r="B9" s="3" t="s">
        <v>9</v>
      </c>
      <c r="D9" s="4" t="s">
        <v>10</v>
      </c>
    </row>
    <row r="10" customFormat="false" ht="15" hidden="false" customHeight="true" outlineLevel="0" collapsed="false">
      <c r="B10" s="3" t="s">
        <v>11</v>
      </c>
      <c r="D10" s="4" t="s">
        <v>12</v>
      </c>
    </row>
    <row r="11" customFormat="false" ht="15" hidden="false" customHeight="true" outlineLevel="0" collapsed="false">
      <c r="B11" s="3" t="s">
        <v>13</v>
      </c>
      <c r="D11" s="4" t="s">
        <v>14</v>
      </c>
    </row>
    <row r="13" customFormat="false" ht="18" hidden="false" customHeight="true" outlineLevel="0" collapsed="false">
      <c r="B13" s="5" t="s">
        <v>15</v>
      </c>
      <c r="C13" s="5"/>
      <c r="D13" s="5"/>
      <c r="E13" s="5"/>
      <c r="F13" s="5"/>
      <c r="G13" s="5"/>
    </row>
    <row r="14" customFormat="false" ht="15" hidden="false" customHeight="true" outlineLevel="0" collapsed="false">
      <c r="B14" s="6" t="s">
        <v>16</v>
      </c>
      <c r="D14" s="4" t="s">
        <v>17</v>
      </c>
    </row>
    <row r="15" customFormat="false" ht="15" hidden="false" customHeight="true" outlineLevel="0" collapsed="false">
      <c r="B15" s="6" t="s">
        <v>18</v>
      </c>
      <c r="D15" s="4" t="s">
        <v>19</v>
      </c>
    </row>
    <row r="16" customFormat="false" ht="15" hidden="false" customHeight="true" outlineLevel="0" collapsed="false">
      <c r="B16" s="6" t="s">
        <v>20</v>
      </c>
      <c r="D16" s="4" t="s">
        <v>21</v>
      </c>
    </row>
    <row r="17" customFormat="false" ht="15" hidden="false" customHeight="true" outlineLevel="0" collapsed="false">
      <c r="B17" s="6" t="s">
        <v>22</v>
      </c>
      <c r="D17" s="4" t="s">
        <v>23</v>
      </c>
    </row>
    <row r="18" customFormat="false" ht="15" hidden="false" customHeight="true" outlineLevel="0" collapsed="false">
      <c r="B18" s="6" t="s">
        <v>24</v>
      </c>
      <c r="D18" s="4" t="s">
        <v>25</v>
      </c>
    </row>
    <row r="19" customFormat="false" ht="15" hidden="false" customHeight="true" outlineLevel="0" collapsed="false">
      <c r="B19" s="6" t="s">
        <v>26</v>
      </c>
      <c r="D19" s="4" t="s">
        <v>27</v>
      </c>
    </row>
    <row r="20" customFormat="false" ht="15" hidden="false" customHeight="true" outlineLevel="0" collapsed="false">
      <c r="B20" s="6" t="s">
        <v>28</v>
      </c>
      <c r="D20" s="4" t="s">
        <v>29</v>
      </c>
    </row>
    <row r="21" customFormat="false" ht="15" hidden="false" customHeight="true" outlineLevel="0" collapsed="false">
      <c r="B21" s="6" t="s">
        <v>30</v>
      </c>
      <c r="D21" s="4" t="s">
        <v>31</v>
      </c>
    </row>
    <row r="22" customFormat="false" ht="15" hidden="false" customHeight="true" outlineLevel="0" collapsed="false">
      <c r="B22" s="6" t="s">
        <v>32</v>
      </c>
      <c r="D22" s="4" t="s">
        <v>33</v>
      </c>
    </row>
    <row r="23" customFormat="false" ht="15" hidden="false" customHeight="true" outlineLevel="0" collapsed="false">
      <c r="B23" s="6" t="s">
        <v>34</v>
      </c>
      <c r="D23" s="4" t="s">
        <v>35</v>
      </c>
    </row>
    <row r="25" customFormat="false" ht="18" hidden="false" customHeight="true" outlineLevel="0" collapsed="false">
      <c r="B25" s="5" t="s">
        <v>36</v>
      </c>
      <c r="C25" s="5"/>
      <c r="D25" s="5"/>
      <c r="E25" s="5"/>
      <c r="F25" s="5"/>
      <c r="G25" s="5"/>
    </row>
    <row r="26" customFormat="false" ht="15" hidden="false" customHeight="true" outlineLevel="0" collapsed="false">
      <c r="B26" s="7" t="s">
        <v>37</v>
      </c>
    </row>
    <row r="27" customFormat="false" ht="15" hidden="false" customHeight="true" outlineLevel="0" collapsed="false">
      <c r="B27" s="4" t="s">
        <v>38</v>
      </c>
    </row>
    <row r="28" customFormat="false" ht="15" hidden="false" customHeight="true" outlineLevel="0" collapsed="false">
      <c r="B28" s="8" t="s">
        <v>39</v>
      </c>
    </row>
    <row r="30" customFormat="false" ht="15" hidden="false" customHeight="true" outlineLevel="0" collapsed="false">
      <c r="B30" s="9" t="s">
        <v>40</v>
      </c>
      <c r="C30" s="9"/>
      <c r="D30" s="9"/>
      <c r="E30" s="9"/>
      <c r="F30" s="9"/>
      <c r="G30" s="9"/>
    </row>
    <row r="31" customFormat="false" ht="15" hidden="false" customHeight="true" outlineLevel="0" collapsed="false">
      <c r="B31" s="9"/>
      <c r="C31" s="9"/>
      <c r="D31" s="9"/>
      <c r="E31" s="9"/>
      <c r="F31" s="9"/>
      <c r="G31" s="9"/>
    </row>
    <row r="32" customFormat="false" ht="15" hidden="false" customHeight="true" outlineLevel="0" collapsed="false">
      <c r="B32" s="9"/>
      <c r="C32" s="9"/>
      <c r="D32" s="9"/>
      <c r="E32" s="9"/>
      <c r="F32" s="9"/>
      <c r="G32" s="9"/>
    </row>
  </sheetData>
  <mergeCells count="4">
    <mergeCell ref="B3:G3"/>
    <mergeCell ref="B13:G13"/>
    <mergeCell ref="B25:G25"/>
    <mergeCell ref="B30:G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0"/>
    <col collapsed="false" customWidth="true" hidden="false" outlineLevel="0" max="3" min="3" style="1" width="3"/>
    <col collapsed="false" customWidth="true" hidden="false" outlineLevel="0" max="4" min="4" style="1" width="16"/>
    <col collapsed="false" customWidth="true" hidden="false" outlineLevel="0" max="5" min="5" style="1" width="3"/>
    <col collapsed="false" customWidth="true" hidden="false" outlineLevel="0" max="6" min="6" style="1" width="56"/>
  </cols>
  <sheetData>
    <row r="3" customFormat="false" ht="21.75" hidden="false" customHeight="true" outlineLevel="0" collapsed="false">
      <c r="B3" s="2" t="s">
        <v>41</v>
      </c>
      <c r="C3" s="2"/>
      <c r="D3" s="2"/>
      <c r="E3" s="2"/>
      <c r="F3" s="2"/>
    </row>
    <row r="5" customFormat="false" ht="18" hidden="false" customHeight="true" outlineLevel="0" collapsed="false">
      <c r="B5" s="5" t="s">
        <v>42</v>
      </c>
      <c r="C5" s="5"/>
      <c r="D5" s="5"/>
      <c r="E5" s="5"/>
      <c r="F5" s="5"/>
    </row>
    <row r="6" customFormat="false" ht="15" hidden="false" customHeight="true" outlineLevel="0" collapsed="false">
      <c r="B6" s="4" t="s">
        <v>43</v>
      </c>
      <c r="D6" s="10" t="n">
        <v>33</v>
      </c>
      <c r="F6" s="11" t="s">
        <v>44</v>
      </c>
    </row>
    <row r="7" customFormat="false" ht="15" hidden="false" customHeight="true" outlineLevel="0" collapsed="false">
      <c r="B7" s="4" t="s">
        <v>45</v>
      </c>
      <c r="D7" s="12" t="s">
        <v>46</v>
      </c>
    </row>
    <row r="8" customFormat="false" ht="15" hidden="false" customHeight="true" outlineLevel="0" collapsed="false">
      <c r="B8" s="4" t="s">
        <v>47</v>
      </c>
      <c r="D8" s="13" t="n">
        <v>2500</v>
      </c>
      <c r="F8" s="11" t="s">
        <v>48</v>
      </c>
    </row>
    <row r="9" customFormat="false" ht="15" hidden="false" customHeight="true" outlineLevel="0" collapsed="false">
      <c r="B9" s="4" t="s">
        <v>49</v>
      </c>
      <c r="D9" s="13" t="n">
        <v>1000</v>
      </c>
      <c r="F9" s="11" t="s">
        <v>50</v>
      </c>
    </row>
    <row r="10" customFormat="false" ht="15" hidden="false" customHeight="true" outlineLevel="0" collapsed="false">
      <c r="B10" s="4" t="s">
        <v>51</v>
      </c>
      <c r="D10" s="13" t="n">
        <v>6500</v>
      </c>
      <c r="F10" s="11" t="s">
        <v>52</v>
      </c>
    </row>
    <row r="11" customFormat="false" ht="15" hidden="false" customHeight="true" outlineLevel="0" collapsed="false">
      <c r="B11" s="4" t="s">
        <v>53</v>
      </c>
      <c r="D11" s="13" t="n">
        <v>1200000</v>
      </c>
      <c r="F11" s="11" t="s">
        <v>54</v>
      </c>
    </row>
    <row r="12" customFormat="false" ht="15" hidden="false" customHeight="true" outlineLevel="0" collapsed="false">
      <c r="B12" s="4" t="s">
        <v>55</v>
      </c>
      <c r="D12" s="12" t="s">
        <v>56</v>
      </c>
      <c r="F12" s="11" t="s">
        <v>57</v>
      </c>
    </row>
    <row r="14" customFormat="false" ht="18" hidden="false" customHeight="true" outlineLevel="0" collapsed="false">
      <c r="B14" s="5" t="s">
        <v>58</v>
      </c>
      <c r="C14" s="5"/>
      <c r="D14" s="5"/>
      <c r="E14" s="5"/>
      <c r="F14" s="5"/>
    </row>
    <row r="15" customFormat="false" ht="15" hidden="false" customHeight="true" outlineLevel="0" collapsed="false">
      <c r="B15" s="14" t="s">
        <v>59</v>
      </c>
      <c r="C15" s="14"/>
      <c r="D15" s="14"/>
      <c r="E15" s="14"/>
      <c r="F15" s="14"/>
    </row>
    <row r="16" customFormat="false" ht="15" hidden="false" customHeight="true" outlineLevel="0" collapsed="false">
      <c r="B16" s="14" t="s">
        <v>60</v>
      </c>
      <c r="C16" s="14"/>
      <c r="D16" s="14"/>
      <c r="E16" s="14"/>
      <c r="F16" s="14"/>
    </row>
    <row r="17" customFormat="false" ht="15" hidden="false" customHeight="true" outlineLevel="0" collapsed="false">
      <c r="B17" s="14" t="s">
        <v>61</v>
      </c>
      <c r="C17" s="14"/>
      <c r="D17" s="14"/>
      <c r="E17" s="14"/>
      <c r="F17" s="14"/>
    </row>
    <row r="18" customFormat="false" ht="15" hidden="false" customHeight="true" outlineLevel="0" collapsed="false">
      <c r="B18" s="14" t="s">
        <v>62</v>
      </c>
      <c r="C18" s="14"/>
      <c r="D18" s="14"/>
      <c r="E18" s="14"/>
      <c r="F18" s="14"/>
    </row>
    <row r="19" customFormat="false" ht="15" hidden="false" customHeight="true" outlineLevel="0" collapsed="false">
      <c r="B19" s="14" t="s">
        <v>63</v>
      </c>
      <c r="C19" s="14"/>
      <c r="D19" s="14"/>
      <c r="E19" s="14"/>
      <c r="F19" s="14"/>
    </row>
    <row r="21" customFormat="false" ht="18" hidden="false" customHeight="true" outlineLevel="0" collapsed="false">
      <c r="B21" s="5" t="s">
        <v>64</v>
      </c>
      <c r="C21" s="5"/>
      <c r="D21" s="5"/>
      <c r="E21" s="5"/>
      <c r="F21" s="5"/>
    </row>
    <row r="22" customFormat="false" ht="15" hidden="false" customHeight="true" outlineLevel="0" collapsed="false">
      <c r="B22" s="15" t="s">
        <v>65</v>
      </c>
      <c r="C22" s="15"/>
      <c r="D22" s="15"/>
      <c r="E22" s="15"/>
      <c r="F22" s="15"/>
    </row>
    <row r="23" customFormat="false" ht="15" hidden="false" customHeight="true" outlineLevel="0" collapsed="false">
      <c r="B23" s="15"/>
      <c r="C23" s="15"/>
      <c r="D23" s="15"/>
      <c r="E23" s="15"/>
      <c r="F23" s="15"/>
    </row>
    <row r="24" customFormat="false" ht="15" hidden="false" customHeight="true" outlineLevel="0" collapsed="false">
      <c r="B24" s="15" t="s">
        <v>66</v>
      </c>
      <c r="C24" s="15"/>
      <c r="D24" s="15"/>
      <c r="E24" s="15"/>
      <c r="F24" s="15"/>
    </row>
    <row r="25" customFormat="false" ht="15" hidden="false" customHeight="true" outlineLevel="0" collapsed="false">
      <c r="B25" s="15"/>
      <c r="C25" s="15"/>
      <c r="D25" s="15"/>
      <c r="E25" s="15"/>
      <c r="F25" s="15"/>
    </row>
    <row r="26" customFormat="false" ht="15" hidden="false" customHeight="true" outlineLevel="0" collapsed="false">
      <c r="B26" s="15" t="s">
        <v>67</v>
      </c>
      <c r="C26" s="15"/>
      <c r="D26" s="15"/>
      <c r="E26" s="15"/>
      <c r="F26" s="15"/>
    </row>
    <row r="27" customFormat="false" ht="15" hidden="false" customHeight="true" outlineLevel="0" collapsed="false">
      <c r="B27" s="15"/>
      <c r="C27" s="15"/>
      <c r="D27" s="15"/>
      <c r="E27" s="15"/>
      <c r="F27" s="15"/>
    </row>
    <row r="28" customFormat="false" ht="15" hidden="false" customHeight="true" outlineLevel="0" collapsed="false">
      <c r="B28" s="15" t="s">
        <v>68</v>
      </c>
      <c r="C28" s="15"/>
      <c r="D28" s="15"/>
      <c r="E28" s="15"/>
      <c r="F28" s="15"/>
    </row>
    <row r="29" customFormat="false" ht="15" hidden="false" customHeight="true" outlineLevel="0" collapsed="false">
      <c r="B29" s="15"/>
      <c r="C29" s="15"/>
      <c r="D29" s="15"/>
      <c r="E29" s="15"/>
      <c r="F29" s="15"/>
    </row>
    <row r="30" customFormat="false" ht="15" hidden="false" customHeight="true" outlineLevel="0" collapsed="false">
      <c r="B30" s="15" t="s">
        <v>69</v>
      </c>
      <c r="C30" s="15"/>
      <c r="D30" s="15"/>
      <c r="E30" s="15"/>
      <c r="F30" s="15"/>
    </row>
    <row r="31" customFormat="false" ht="15" hidden="false" customHeight="true" outlineLevel="0" collapsed="false">
      <c r="B31" s="15"/>
      <c r="C31" s="15"/>
      <c r="D31" s="15"/>
      <c r="E31" s="15"/>
      <c r="F31" s="15"/>
    </row>
  </sheetData>
  <mergeCells count="14">
    <mergeCell ref="B3:F3"/>
    <mergeCell ref="B5:F5"/>
    <mergeCell ref="B14:F14"/>
    <mergeCell ref="B15:F15"/>
    <mergeCell ref="B16:F16"/>
    <mergeCell ref="B17:F17"/>
    <mergeCell ref="B18:F18"/>
    <mergeCell ref="B19:F19"/>
    <mergeCell ref="B21:F21"/>
    <mergeCell ref="B22:F23"/>
    <mergeCell ref="B24:F25"/>
    <mergeCell ref="B26:F27"/>
    <mergeCell ref="B28:F29"/>
    <mergeCell ref="B30:F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0"/>
    <col collapsed="false" customWidth="true" hidden="false" outlineLevel="0" max="3" min="3" style="1" width="3"/>
    <col collapsed="false" customWidth="true" hidden="false" outlineLevel="0" max="4" min="4" style="1" width="16"/>
    <col collapsed="false" customWidth="true" hidden="false" outlineLevel="0" max="5" min="5" style="1" width="3"/>
    <col collapsed="false" customWidth="true" hidden="false" outlineLevel="0" max="6" min="6" style="1" width="54"/>
  </cols>
  <sheetData>
    <row r="3" customFormat="false" ht="21.75" hidden="false" customHeight="true" outlineLevel="0" collapsed="false">
      <c r="B3" s="2" t="s">
        <v>70</v>
      </c>
      <c r="C3" s="2"/>
      <c r="D3" s="2"/>
      <c r="E3" s="2"/>
      <c r="F3" s="2"/>
    </row>
    <row r="5" customFormat="false" ht="15" hidden="false" customHeight="true" outlineLevel="0" collapsed="false">
      <c r="B5" s="3" t="s">
        <v>71</v>
      </c>
      <c r="D5" s="13" t="n">
        <v>1200000</v>
      </c>
    </row>
    <row r="7" customFormat="false" ht="18" hidden="false" customHeight="true" outlineLevel="0" collapsed="false">
      <c r="B7" s="5" t="s">
        <v>72</v>
      </c>
      <c r="C7" s="5"/>
      <c r="D7" s="5"/>
      <c r="E7" s="5"/>
      <c r="F7" s="5"/>
    </row>
    <row r="8" customFormat="false" ht="15" hidden="false" customHeight="true" outlineLevel="0" collapsed="false">
      <c r="B8" s="4" t="s">
        <v>73</v>
      </c>
      <c r="D8" s="13" t="n">
        <v>215000</v>
      </c>
      <c r="F8" s="11" t="s">
        <v>74</v>
      </c>
    </row>
    <row r="9" customFormat="false" ht="15" hidden="false" customHeight="true" outlineLevel="0" collapsed="false">
      <c r="B9" s="4" t="s">
        <v>75</v>
      </c>
      <c r="D9" s="13" t="n">
        <v>157500</v>
      </c>
      <c r="F9" s="11" t="s">
        <v>76</v>
      </c>
    </row>
    <row r="10" customFormat="false" ht="15" hidden="false" customHeight="true" outlineLevel="0" collapsed="false">
      <c r="B10" s="4" t="s">
        <v>77</v>
      </c>
      <c r="D10" s="13" t="n">
        <v>250000</v>
      </c>
      <c r="F10" s="11" t="s">
        <v>78</v>
      </c>
    </row>
    <row r="11" customFormat="false" ht="15" hidden="false" customHeight="true" outlineLevel="0" collapsed="false">
      <c r="B11" s="4" t="s">
        <v>79</v>
      </c>
      <c r="D11" s="13" t="n">
        <v>44700</v>
      </c>
      <c r="F11" s="11" t="s">
        <v>80</v>
      </c>
    </row>
    <row r="12" customFormat="false" ht="15" hidden="false" customHeight="true" outlineLevel="0" collapsed="false">
      <c r="B12" s="4" t="s">
        <v>81</v>
      </c>
      <c r="D12" s="13" t="n">
        <v>45000</v>
      </c>
      <c r="F12" s="11" t="s">
        <v>82</v>
      </c>
    </row>
    <row r="13" customFormat="false" ht="15" hidden="false" customHeight="true" outlineLevel="0" collapsed="false">
      <c r="B13" s="4" t="s">
        <v>83</v>
      </c>
      <c r="D13" s="13" t="n">
        <v>40000</v>
      </c>
      <c r="F13" s="11" t="s">
        <v>84</v>
      </c>
    </row>
    <row r="14" customFormat="false" ht="15" hidden="false" customHeight="true" outlineLevel="0" collapsed="false">
      <c r="B14" s="4" t="s">
        <v>85</v>
      </c>
      <c r="D14" s="13" t="n">
        <v>20000</v>
      </c>
      <c r="F14" s="11" t="s">
        <v>86</v>
      </c>
    </row>
    <row r="15" customFormat="false" ht="15" hidden="false" customHeight="true" outlineLevel="0" collapsed="false">
      <c r="B15" s="3" t="s">
        <v>87</v>
      </c>
      <c r="D15" s="16" t="n">
        <f aca="false">D5-SUM(D8:D14)</f>
        <v>427800</v>
      </c>
      <c r="F15" s="11" t="s">
        <v>88</v>
      </c>
    </row>
    <row r="16" customFormat="false" ht="15" hidden="false" customHeight="true" outlineLevel="0" collapsed="false">
      <c r="B16" s="3" t="s">
        <v>89</v>
      </c>
      <c r="D16" s="17" t="n">
        <f aca="false">SUM(D8:D15)</f>
        <v>1200000</v>
      </c>
    </row>
    <row r="18" customFormat="false" ht="18" hidden="false" customHeight="true" outlineLevel="0" collapsed="false">
      <c r="B18" s="5" t="s">
        <v>90</v>
      </c>
      <c r="C18" s="5"/>
      <c r="D18" s="5"/>
      <c r="E18" s="5"/>
      <c r="F18" s="5"/>
    </row>
    <row r="19" customFormat="false" ht="15" hidden="false" customHeight="true" outlineLevel="0" collapsed="false">
      <c r="B19" s="4" t="s">
        <v>91</v>
      </c>
      <c r="D19" s="18" t="n">
        <f aca="false">D8+3*175000+D10</f>
        <v>990000</v>
      </c>
      <c r="F19" s="11" t="s">
        <v>92</v>
      </c>
    </row>
    <row r="20" customFormat="false" ht="15" hidden="false" customHeight="true" outlineLevel="0" collapsed="false">
      <c r="B20" s="4" t="s">
        <v>93</v>
      </c>
      <c r="D20" s="18" t="n">
        <f aca="false">3*175000*0.7</f>
        <v>367500</v>
      </c>
    </row>
    <row r="21" customFormat="false" ht="15" hidden="false" customHeight="true" outlineLevel="0" collapsed="false">
      <c r="B21" s="4" t="s">
        <v>94</v>
      </c>
      <c r="D21" s="18" t="n">
        <f aca="false">D8+D9+D10</f>
        <v>622500</v>
      </c>
    </row>
    <row r="22" customFormat="false" ht="15" hidden="false" customHeight="true" outlineLevel="0" collapsed="false">
      <c r="B22" s="4" t="s">
        <v>95</v>
      </c>
      <c r="D22" s="19" t="n">
        <f aca="false">D20/D19</f>
        <v>0.371212121212121</v>
      </c>
      <c r="F22" s="11" t="s">
        <v>96</v>
      </c>
    </row>
  </sheetData>
  <mergeCells count="3">
    <mergeCell ref="B3:F3"/>
    <mergeCell ref="B7:F7"/>
    <mergeCell ref="B18:F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J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0"/>
    <col collapsed="false" customWidth="true" hidden="false" outlineLevel="0" max="8" min="3" style="1" width="14"/>
    <col collapsed="false" customWidth="true" hidden="false" outlineLevel="0" max="9" min="9" style="1" width="3"/>
    <col collapsed="false" customWidth="true" hidden="false" outlineLevel="0" max="10" min="10" style="1" width="48"/>
  </cols>
  <sheetData>
    <row r="3" customFormat="false" ht="21.75" hidden="false" customHeight="true" outlineLevel="0" collapsed="false">
      <c r="B3" s="2" t="s">
        <v>97</v>
      </c>
      <c r="C3" s="2"/>
      <c r="D3" s="2"/>
      <c r="E3" s="2"/>
      <c r="F3" s="2"/>
      <c r="G3" s="2"/>
      <c r="H3" s="2"/>
    </row>
    <row r="5" customFormat="false" ht="30" hidden="false" customHeight="true" outlineLevel="0" collapsed="false">
      <c r="B5" s="20"/>
      <c r="C5" s="20" t="s">
        <v>98</v>
      </c>
      <c r="D5" s="20" t="s">
        <v>99</v>
      </c>
      <c r="E5" s="20" t="s">
        <v>100</v>
      </c>
      <c r="F5" s="20" t="s">
        <v>101</v>
      </c>
      <c r="G5" s="20" t="s">
        <v>102</v>
      </c>
      <c r="H5" s="20" t="s">
        <v>103</v>
      </c>
    </row>
    <row r="6" customFormat="false" ht="15" hidden="false" customHeight="true" outlineLevel="0" collapsed="false">
      <c r="B6" s="4" t="s">
        <v>104</v>
      </c>
      <c r="C6" s="13" t="n">
        <v>175000</v>
      </c>
      <c r="D6" s="13" t="n">
        <v>175000</v>
      </c>
      <c r="E6" s="13" t="n">
        <v>175000</v>
      </c>
      <c r="F6" s="13" t="n">
        <v>250000</v>
      </c>
      <c r="G6" s="13" t="n">
        <v>0</v>
      </c>
      <c r="H6" s="21" t="n">
        <f aca="false">SUM(C6:G6)</f>
        <v>775000</v>
      </c>
      <c r="J6" s="11" t="s">
        <v>105</v>
      </c>
    </row>
    <row r="7" customFormat="false" ht="21.75" hidden="false" customHeight="true" outlineLevel="0" collapsed="false">
      <c r="B7" s="4" t="s">
        <v>106</v>
      </c>
      <c r="C7" s="22" t="s">
        <v>107</v>
      </c>
      <c r="D7" s="22" t="s">
        <v>107</v>
      </c>
      <c r="E7" s="22" t="s">
        <v>107</v>
      </c>
      <c r="F7" s="22" t="s">
        <v>107</v>
      </c>
      <c r="G7" s="22" t="s">
        <v>108</v>
      </c>
      <c r="J7" s="11" t="s">
        <v>109</v>
      </c>
    </row>
    <row r="8" customFormat="false" ht="21.75" hidden="false" customHeight="true" outlineLevel="0" collapsed="false">
      <c r="B8" s="4" t="s">
        <v>110</v>
      </c>
      <c r="C8" s="13" t="n">
        <v>850</v>
      </c>
      <c r="D8" s="13" t="n">
        <v>850</v>
      </c>
      <c r="E8" s="13" t="n">
        <v>900</v>
      </c>
      <c r="F8" s="13" t="n">
        <v>0</v>
      </c>
      <c r="G8" s="13" t="n">
        <v>0</v>
      </c>
      <c r="H8" s="21" t="n">
        <f aca="false">SUM(C8:G8)</f>
        <v>2600</v>
      </c>
      <c r="J8" s="11" t="s">
        <v>111</v>
      </c>
    </row>
    <row r="9" customFormat="false" ht="15" hidden="false" customHeight="true" outlineLevel="0" collapsed="false">
      <c r="B9" s="4" t="s">
        <v>112</v>
      </c>
      <c r="C9" s="18" t="n">
        <f aca="false">C8*12</f>
        <v>10200</v>
      </c>
      <c r="D9" s="18" t="n">
        <f aca="false">D8*12</f>
        <v>10200</v>
      </c>
      <c r="E9" s="18" t="n">
        <f aca="false">E8*12</f>
        <v>10800</v>
      </c>
      <c r="F9" s="18" t="n">
        <v>0</v>
      </c>
      <c r="G9" s="18" t="n">
        <v>0</v>
      </c>
      <c r="H9" s="21" t="n">
        <f aca="false">SUM(C9:G9)</f>
        <v>31200</v>
      </c>
    </row>
    <row r="10" customFormat="false" ht="15" hidden="false" customHeight="true" outlineLevel="0" collapsed="false">
      <c r="B10" s="4" t="s">
        <v>113</v>
      </c>
      <c r="C10" s="13" t="n">
        <v>0</v>
      </c>
      <c r="D10" s="13" t="n">
        <v>0</v>
      </c>
      <c r="E10" s="13" t="n">
        <v>0</v>
      </c>
      <c r="F10" s="13" t="n">
        <v>118</v>
      </c>
      <c r="G10" s="13" t="n">
        <v>0</v>
      </c>
      <c r="H10" s="21" t="n">
        <f aca="false">SUM(C10:G10)</f>
        <v>118</v>
      </c>
      <c r="J10" s="11" t="s">
        <v>114</v>
      </c>
    </row>
    <row r="11" customFormat="false" ht="15" hidden="false" customHeight="true" outlineLevel="0" collapsed="false">
      <c r="B11" s="4" t="s">
        <v>115</v>
      </c>
      <c r="C11" s="23" t="n">
        <v>0</v>
      </c>
      <c r="D11" s="23" t="n">
        <v>0</v>
      </c>
      <c r="E11" s="23" t="n">
        <v>0</v>
      </c>
      <c r="F11" s="23" t="n">
        <v>0.55</v>
      </c>
      <c r="G11" s="23" t="n">
        <v>0</v>
      </c>
      <c r="H11" s="24" t="n">
        <f aca="false">SUM(C11:G11)</f>
        <v>0.55</v>
      </c>
    </row>
    <row r="12" customFormat="false" ht="15" hidden="false" customHeight="true" outlineLevel="0" collapsed="false">
      <c r="B12" s="4" t="s">
        <v>116</v>
      </c>
      <c r="C12" s="18" t="n">
        <v>0</v>
      </c>
      <c r="D12" s="18" t="n">
        <v>0</v>
      </c>
      <c r="E12" s="18" t="n">
        <v>0</v>
      </c>
      <c r="F12" s="18" t="n">
        <f aca="false">F10*365*F11</f>
        <v>23688.5</v>
      </c>
      <c r="G12" s="18" t="n">
        <v>0</v>
      </c>
      <c r="H12" s="21" t="n">
        <f aca="false">SUM(C12:G12)</f>
        <v>23688.5</v>
      </c>
    </row>
    <row r="13" customFormat="false" ht="21.75" hidden="false" customHeight="true" outlineLevel="0" collapsed="false">
      <c r="B13" s="3" t="s">
        <v>117</v>
      </c>
      <c r="C13" s="18" t="n">
        <f aca="false">C9+C12</f>
        <v>10200</v>
      </c>
      <c r="D13" s="18" t="n">
        <f aca="false">D9+D12</f>
        <v>10200</v>
      </c>
      <c r="E13" s="18" t="n">
        <f aca="false">E9+E12</f>
        <v>10800</v>
      </c>
      <c r="F13" s="18" t="n">
        <f aca="false">F9+F12</f>
        <v>23688.5</v>
      </c>
      <c r="G13" s="13" t="n">
        <v>9000</v>
      </c>
      <c r="H13" s="21" t="n">
        <f aca="false">SUM(C13:G13)</f>
        <v>63888.5</v>
      </c>
      <c r="J13" s="11" t="s">
        <v>118</v>
      </c>
    </row>
    <row r="15" customFormat="false" ht="18" hidden="false" customHeight="true" outlineLevel="0" collapsed="false">
      <c r="B15" s="5" t="s">
        <v>119</v>
      </c>
      <c r="C15" s="5"/>
      <c r="D15" s="5"/>
      <c r="E15" s="5"/>
      <c r="F15" s="5"/>
      <c r="G15" s="5"/>
      <c r="H15" s="5"/>
    </row>
    <row r="16" customFormat="false" ht="15" hidden="false" customHeight="true" outlineLevel="0" collapsed="false">
      <c r="B16" s="4" t="s">
        <v>120</v>
      </c>
      <c r="C16" s="18" t="n">
        <f aca="false">-C13*0.01</f>
        <v>-102</v>
      </c>
      <c r="D16" s="18" t="n">
        <f aca="false">-D13*0.01</f>
        <v>-102</v>
      </c>
      <c r="E16" s="18" t="n">
        <f aca="false">-E13*0.01</f>
        <v>-108</v>
      </c>
      <c r="F16" s="13" t="n">
        <v>0</v>
      </c>
      <c r="G16" s="18" t="n">
        <f aca="false">-G13*0.01</f>
        <v>-90</v>
      </c>
      <c r="H16" s="21" t="n">
        <f aca="false">SUM(C16:G16)</f>
        <v>-402</v>
      </c>
      <c r="J16" s="25" t="s">
        <v>121</v>
      </c>
    </row>
    <row r="17" customFormat="false" ht="15" hidden="false" customHeight="true" outlineLevel="0" collapsed="false">
      <c r="B17" s="4" t="s">
        <v>122</v>
      </c>
      <c r="C17" s="18" t="n">
        <v>0</v>
      </c>
      <c r="D17" s="18" t="n">
        <v>0</v>
      </c>
      <c r="E17" s="18" t="n">
        <v>0</v>
      </c>
      <c r="F17" s="18" t="n">
        <f aca="false">-F13*0.365</f>
        <v>-8646.3025</v>
      </c>
      <c r="G17" s="18" t="n">
        <v>0</v>
      </c>
      <c r="H17" s="21" t="n">
        <f aca="false">SUM(C17:G17)</f>
        <v>-8646.3025</v>
      </c>
      <c r="J17" s="25" t="s">
        <v>123</v>
      </c>
    </row>
    <row r="18" customFormat="false" ht="15" hidden="false" customHeight="true" outlineLevel="0" collapsed="false">
      <c r="B18" s="4" t="s">
        <v>124</v>
      </c>
      <c r="C18" s="18" t="n">
        <f aca="false">C37</f>
        <v>-240.093</v>
      </c>
      <c r="D18" s="18" t="n">
        <f aca="false">D37</f>
        <v>-240.093</v>
      </c>
      <c r="E18" s="18" t="n">
        <f aca="false">E37</f>
        <v>-257.2425</v>
      </c>
      <c r="F18" s="18" t="n">
        <f aca="false">F37</f>
        <v>-339.66</v>
      </c>
      <c r="G18" s="18" t="n">
        <f aca="false">G37</f>
        <v>-199.8</v>
      </c>
      <c r="H18" s="21" t="n">
        <f aca="false">SUM(C18:G18)</f>
        <v>-1276.8885</v>
      </c>
      <c r="J18" s="25" t="s">
        <v>125</v>
      </c>
    </row>
    <row r="19" customFormat="false" ht="15" hidden="false" customHeight="true" outlineLevel="0" collapsed="false">
      <c r="B19" s="4" t="s">
        <v>126</v>
      </c>
      <c r="C19" s="13" t="n">
        <v>-150</v>
      </c>
      <c r="D19" s="13" t="n">
        <v>-150</v>
      </c>
      <c r="E19" s="13" t="n">
        <v>-180</v>
      </c>
      <c r="F19" s="13" t="n">
        <v>-320</v>
      </c>
      <c r="G19" s="13" t="n">
        <v>-140</v>
      </c>
      <c r="H19" s="21" t="n">
        <f aca="false">SUM(C19:G19)</f>
        <v>-940</v>
      </c>
      <c r="J19" s="25" t="s">
        <v>127</v>
      </c>
    </row>
    <row r="20" customFormat="false" ht="15" hidden="false" customHeight="true" outlineLevel="0" collapsed="false">
      <c r="B20" s="4" t="s">
        <v>128</v>
      </c>
      <c r="C20" s="13" t="n">
        <v>-150</v>
      </c>
      <c r="D20" s="13" t="n">
        <v>-150</v>
      </c>
      <c r="E20" s="13" t="n">
        <v>-180</v>
      </c>
      <c r="F20" s="18" t="n">
        <f aca="false">-F13*0.135</f>
        <v>-3197.9475</v>
      </c>
      <c r="G20" s="13" t="n">
        <v>-140</v>
      </c>
      <c r="H20" s="21" t="n">
        <f aca="false">SUM(C20:G20)</f>
        <v>-3817.9475</v>
      </c>
      <c r="J20" s="25" t="s">
        <v>129</v>
      </c>
    </row>
    <row r="21" customFormat="false" ht="15" hidden="false" customHeight="true" outlineLevel="0" collapsed="false">
      <c r="B21" s="3" t="s">
        <v>130</v>
      </c>
      <c r="C21" s="18" t="n">
        <f aca="false">SUM(C16:C20)</f>
        <v>-642.093</v>
      </c>
      <c r="D21" s="18" t="n">
        <f aca="false">SUM(D16:D20)</f>
        <v>-642.093</v>
      </c>
      <c r="E21" s="18" t="n">
        <f aca="false">SUM(E16:E20)</f>
        <v>-725.2425</v>
      </c>
      <c r="F21" s="18" t="n">
        <f aca="false">SUM(F16:F20)</f>
        <v>-12503.91</v>
      </c>
      <c r="G21" s="18" t="n">
        <f aca="false">SUM(G16:G20)</f>
        <v>-569.8</v>
      </c>
      <c r="H21" s="21" t="n">
        <f aca="false">SUM(C21:G21)</f>
        <v>-15083.1385</v>
      </c>
    </row>
    <row r="23" customFormat="false" ht="15" hidden="false" customHeight="true" outlineLevel="0" collapsed="false">
      <c r="B23" s="3" t="s">
        <v>131</v>
      </c>
      <c r="C23" s="18" t="n">
        <f aca="false">C13+C21</f>
        <v>9557.907</v>
      </c>
      <c r="D23" s="18" t="n">
        <f aca="false">D13+D21</f>
        <v>9557.907</v>
      </c>
      <c r="E23" s="18" t="n">
        <f aca="false">E13+E21</f>
        <v>10074.7575</v>
      </c>
      <c r="F23" s="18" t="n">
        <f aca="false">F13+F21</f>
        <v>11184.59</v>
      </c>
      <c r="G23" s="18" t="n">
        <f aca="false">G13+G21</f>
        <v>8430.2</v>
      </c>
      <c r="H23" s="21" t="n">
        <f aca="false">SUM(C23:G23)</f>
        <v>48805.3615</v>
      </c>
    </row>
    <row r="24" customFormat="false" ht="15" hidden="false" customHeight="true" outlineLevel="0" collapsed="false">
      <c r="B24" s="4" t="s">
        <v>132</v>
      </c>
      <c r="C24" s="19" t="n">
        <f aca="false">C23/C6</f>
        <v>0.0546166114285714</v>
      </c>
      <c r="D24" s="19" t="n">
        <f aca="false">D23/D6</f>
        <v>0.0546166114285714</v>
      </c>
      <c r="E24" s="19" t="n">
        <f aca="false">E23/E6</f>
        <v>0.0575700428571429</v>
      </c>
      <c r="F24" s="19" t="n">
        <f aca="false">F23/F6</f>
        <v>0.04473836</v>
      </c>
      <c r="G24" s="19" t="n">
        <v>0</v>
      </c>
      <c r="J24" s="11" t="s">
        <v>133</v>
      </c>
    </row>
    <row r="27" customFormat="false" ht="15" hidden="false" customHeight="true" outlineLevel="0" collapsed="false">
      <c r="B27" s="5" t="s">
        <v>134</v>
      </c>
      <c r="C27" s="5"/>
      <c r="D27" s="5"/>
      <c r="E27" s="5"/>
      <c r="F27" s="5"/>
      <c r="G27" s="5"/>
      <c r="H27" s="5"/>
    </row>
    <row r="28" customFormat="false" ht="15" hidden="false" customHeight="true" outlineLevel="0" collapsed="false">
      <c r="B28" s="15" t="s">
        <v>135</v>
      </c>
      <c r="C28" s="15"/>
      <c r="D28" s="15"/>
      <c r="E28" s="15"/>
      <c r="F28" s="15"/>
      <c r="G28" s="15"/>
      <c r="H28" s="15"/>
    </row>
    <row r="29" customFormat="false" ht="15" hidden="false" customHeight="true" outlineLevel="0" collapsed="false">
      <c r="B29" s="15"/>
      <c r="C29" s="15"/>
      <c r="D29" s="15"/>
      <c r="E29" s="15"/>
      <c r="F29" s="15"/>
      <c r="G29" s="15"/>
      <c r="H29" s="15"/>
    </row>
    <row r="31" customFormat="false" ht="15" hidden="false" customHeight="true" outlineLevel="0" collapsed="false">
      <c r="B31" s="4" t="s">
        <v>136</v>
      </c>
      <c r="C31" s="26" t="n">
        <v>70</v>
      </c>
      <c r="D31" s="26" t="n">
        <v>70</v>
      </c>
      <c r="E31" s="26" t="n">
        <v>75</v>
      </c>
      <c r="F31" s="26" t="n">
        <v>100</v>
      </c>
      <c r="G31" s="26" t="n">
        <v>60</v>
      </c>
    </row>
    <row r="32" customFormat="false" ht="15" hidden="false" customHeight="true" outlineLevel="0" collapsed="false">
      <c r="B32" s="4" t="s">
        <v>137</v>
      </c>
      <c r="C32" s="13" t="n">
        <v>2000</v>
      </c>
      <c r="D32" s="13" t="n">
        <v>2000</v>
      </c>
      <c r="E32" s="13" t="n">
        <v>2200</v>
      </c>
      <c r="F32" s="13" t="n">
        <v>1600</v>
      </c>
      <c r="G32" s="13" t="n">
        <v>1700</v>
      </c>
      <c r="J32" s="25" t="s">
        <v>138</v>
      </c>
    </row>
    <row r="33" customFormat="false" ht="15" hidden="false" customHeight="true" outlineLevel="0" collapsed="false">
      <c r="B33" s="4" t="s">
        <v>139</v>
      </c>
      <c r="C33" s="27" t="n">
        <f aca="false">IF(C32&lt;=750,2,IF(C32&lt;=1500,2.8,IF(C32&lt;=2500,3.7,IF(C32&lt;=3000,4.5,IF(C32&lt;=3500,6,IF(C32&lt;=4000,7.6,IF(C32&lt;=4500,9.2,IF(C32&lt;=5000,13.4,16.2))))))))</f>
        <v>3.7</v>
      </c>
      <c r="D33" s="27" t="n">
        <f aca="false">IF(D32&lt;=750,2,IF(D32&lt;=1500,2.8,IF(D32&lt;=2500,3.7,IF(D32&lt;=3000,4.5,IF(D32&lt;=3500,6,IF(D32&lt;=4000,7.6,IF(D32&lt;=4500,9.2,IF(D32&lt;=5000,13.4,16.2))))))))</f>
        <v>3.7</v>
      </c>
      <c r="E33" s="27" t="n">
        <f aca="false">IF(E32&lt;=750,2,IF(E32&lt;=1500,2.8,IF(E32&lt;=2500,3.7,IF(E32&lt;=3000,4.5,IF(E32&lt;=3500,6,IF(E32&lt;=4000,7.6,IF(E32&lt;=4500,9.2,IF(E32&lt;=5000,13.4,16.2))))))))</f>
        <v>3.7</v>
      </c>
      <c r="F33" s="27" t="n">
        <f aca="false">IF(F32&lt;=750,2,IF(F32&lt;=1500,2.8,IF(F32&lt;=2500,3.7,IF(F32&lt;=3000,4.5,IF(F32&lt;=3500,6,IF(F32&lt;=4000,7.6,IF(F32&lt;=4500,9.2,IF(F32&lt;=5000,13.4,16.2))))))))</f>
        <v>3.7</v>
      </c>
      <c r="G33" s="27" t="n">
        <f aca="false">IF(G32&lt;=750,2,IF(G32&lt;=1500,2.8,IF(G32&lt;=2500,3.7,IF(G32&lt;=3000,4.5,IF(G32&lt;=3500,6,IF(G32&lt;=4000,7.6,IF(G32&lt;=4500,9.2,IF(G32&lt;=5000,13.4,16.2))))))))</f>
        <v>3.7</v>
      </c>
      <c r="J33" s="25" t="s">
        <v>140</v>
      </c>
    </row>
    <row r="34" customFormat="false" ht="21.75" hidden="false" customHeight="true" outlineLevel="0" collapsed="false">
      <c r="B34" s="4" t="s">
        <v>141</v>
      </c>
      <c r="C34" s="28" t="n">
        <v>1.03</v>
      </c>
      <c r="D34" s="28" t="n">
        <v>1.03</v>
      </c>
      <c r="E34" s="28" t="n">
        <v>1.03</v>
      </c>
      <c r="F34" s="28" t="n">
        <v>1.02</v>
      </c>
      <c r="G34" s="28" t="n">
        <v>1</v>
      </c>
      <c r="J34" s="25" t="s">
        <v>142</v>
      </c>
    </row>
    <row r="35" customFormat="false" ht="15" hidden="false" customHeight="true" outlineLevel="0" collapsed="false">
      <c r="B35" s="4" t="s">
        <v>143</v>
      </c>
      <c r="C35" s="18" t="n">
        <f aca="false">C31*C33*C34</f>
        <v>266.77</v>
      </c>
      <c r="D35" s="18" t="n">
        <f aca="false">D31*D33*D34</f>
        <v>266.77</v>
      </c>
      <c r="E35" s="18" t="n">
        <f aca="false">E31*E33*E34</f>
        <v>285.825</v>
      </c>
      <c r="F35" s="18" t="n">
        <f aca="false">F31*F33*F34</f>
        <v>377.4</v>
      </c>
      <c r="G35" s="18" t="n">
        <f aca="false">G31*G33*G34</f>
        <v>222</v>
      </c>
    </row>
    <row r="36" customFormat="false" ht="21.75" hidden="false" customHeight="true" outlineLevel="0" collapsed="false">
      <c r="B36" s="4" t="s">
        <v>144</v>
      </c>
      <c r="C36" s="29" t="n">
        <v>0.1</v>
      </c>
      <c r="D36" s="29" t="n">
        <v>0.1</v>
      </c>
      <c r="E36" s="29" t="n">
        <v>0.1</v>
      </c>
      <c r="F36" s="29" t="n">
        <v>0.1</v>
      </c>
      <c r="G36" s="29" t="n">
        <v>0.1</v>
      </c>
      <c r="J36" s="25" t="s">
        <v>145</v>
      </c>
    </row>
    <row r="37" customFormat="false" ht="15" hidden="false" customHeight="true" outlineLevel="0" collapsed="false">
      <c r="B37" s="3" t="s">
        <v>146</v>
      </c>
      <c r="C37" s="21" t="n">
        <f aca="false">-C35*(1-C36)</f>
        <v>-240.093</v>
      </c>
      <c r="D37" s="21" t="n">
        <f aca="false">-D35*(1-D36)</f>
        <v>-240.093</v>
      </c>
      <c r="E37" s="21" t="n">
        <f aca="false">-E35*(1-E36)</f>
        <v>-257.2425</v>
      </c>
      <c r="F37" s="21" t="n">
        <f aca="false">-F35*(1-F36)</f>
        <v>-339.66</v>
      </c>
      <c r="G37" s="21" t="n">
        <f aca="false">-G35*(1-G36)</f>
        <v>-199.8</v>
      </c>
      <c r="H37" s="30" t="n">
        <f aca="false">SUM(C37:G37)</f>
        <v>-1276.8885</v>
      </c>
    </row>
  </sheetData>
  <mergeCells count="4">
    <mergeCell ref="B3:H3"/>
    <mergeCell ref="B15:H15"/>
    <mergeCell ref="B27:H27"/>
    <mergeCell ref="B28:H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2"/>
    <col collapsed="false" customWidth="true" hidden="false" outlineLevel="0" max="3" min="3" style="1" width="14"/>
    <col collapsed="false" customWidth="true" hidden="false" outlineLevel="0" max="5" min="4" style="1" width="13"/>
    <col collapsed="false" customWidth="true" hidden="false" outlineLevel="0" max="6" min="6" style="1" width="14"/>
  </cols>
  <sheetData>
    <row r="3" customFormat="false" ht="21.75" hidden="false" customHeight="true" outlineLevel="0" collapsed="false">
      <c r="B3" s="31" t="s">
        <v>147</v>
      </c>
      <c r="C3" s="31"/>
      <c r="D3" s="31"/>
      <c r="E3" s="31"/>
    </row>
    <row r="5" customFormat="false" ht="32.25" hidden="false" customHeight="true" outlineLevel="0" collapsed="false">
      <c r="B5" s="4" t="s">
        <v>148</v>
      </c>
      <c r="C5" s="18" t="n">
        <f aca="false">3*175000*0.7</f>
        <v>367500</v>
      </c>
      <c r="E5" s="25" t="s">
        <v>149</v>
      </c>
    </row>
    <row r="6" customFormat="false" ht="53.25" hidden="false" customHeight="true" outlineLevel="0" collapsed="false">
      <c r="B6" s="4" t="s">
        <v>150</v>
      </c>
      <c r="C6" s="32" t="n">
        <v>0.0425</v>
      </c>
      <c r="E6" s="25" t="s">
        <v>151</v>
      </c>
    </row>
    <row r="7" customFormat="false" ht="15" hidden="false" customHeight="true" outlineLevel="0" collapsed="false">
      <c r="B7" s="4" t="s">
        <v>152</v>
      </c>
      <c r="C7" s="10" t="n">
        <v>20</v>
      </c>
      <c r="E7" s="25"/>
    </row>
    <row r="8" customFormat="false" ht="53.25" hidden="false" customHeight="true" outlineLevel="0" collapsed="false">
      <c r="B8" s="4" t="s">
        <v>153</v>
      </c>
      <c r="C8" s="13" t="n">
        <v>3000</v>
      </c>
      <c r="E8" s="25" t="s">
        <v>154</v>
      </c>
    </row>
    <row r="10" customFormat="false" ht="15" hidden="false" customHeight="true" outlineLevel="0" collapsed="false">
      <c r="B10" s="3" t="s">
        <v>155</v>
      </c>
      <c r="C10" s="16" t="n">
        <f aca="false">-PMT(C6,C7,C5)</f>
        <v>27643.2892927656</v>
      </c>
    </row>
    <row r="11" customFormat="false" ht="32.25" hidden="false" customHeight="true" outlineLevel="0" collapsed="false">
      <c r="B11" s="3" t="s">
        <v>156</v>
      </c>
      <c r="C11" s="21" t="n">
        <f aca="false">C10+C8</f>
        <v>30643.2892927656</v>
      </c>
      <c r="E11" s="25" t="s">
        <v>157</v>
      </c>
    </row>
    <row r="13" customFormat="false" ht="18" hidden="false" customHeight="true" outlineLevel="0" collapsed="false">
      <c r="B13" s="5" t="s">
        <v>158</v>
      </c>
      <c r="C13" s="5"/>
      <c r="D13" s="5"/>
      <c r="E13" s="5"/>
    </row>
    <row r="14" customFormat="false" ht="15" hidden="false" customHeight="true" outlineLevel="0" collapsed="false">
      <c r="B14" s="20" t="s">
        <v>159</v>
      </c>
      <c r="C14" s="20" t="s">
        <v>160</v>
      </c>
      <c r="D14" s="20" t="s">
        <v>161</v>
      </c>
      <c r="E14" s="20" t="s">
        <v>162</v>
      </c>
      <c r="F14" s="20" t="s">
        <v>163</v>
      </c>
    </row>
    <row r="15" customFormat="false" ht="15" hidden="false" customHeight="true" outlineLevel="0" collapsed="false">
      <c r="B15" s="33" t="n">
        <v>1</v>
      </c>
      <c r="C15" s="18" t="n">
        <f aca="false">C5</f>
        <v>367500</v>
      </c>
      <c r="D15" s="18" t="n">
        <f aca="false">C15*$C$6</f>
        <v>15618.75</v>
      </c>
      <c r="E15" s="18" t="n">
        <f aca="false">MIN($C$11-D15,C15)</f>
        <v>15024.5392927655</v>
      </c>
      <c r="F15" s="18" t="n">
        <f aca="false">C15-E15</f>
        <v>352475.460707234</v>
      </c>
    </row>
    <row r="16" customFormat="false" ht="15" hidden="false" customHeight="true" outlineLevel="0" collapsed="false">
      <c r="B16" s="33" t="n">
        <v>2</v>
      </c>
      <c r="C16" s="18" t="n">
        <f aca="false">F15</f>
        <v>352475.460707234</v>
      </c>
      <c r="D16" s="18" t="n">
        <f aca="false">C16*$C$6</f>
        <v>14980.2070800575</v>
      </c>
      <c r="E16" s="18" t="n">
        <f aca="false">MIN($C$11-D16,C16)</f>
        <v>15663.0822127081</v>
      </c>
      <c r="F16" s="18" t="n">
        <f aca="false">C16-E16</f>
        <v>336812.378494526</v>
      </c>
    </row>
    <row r="17" customFormat="false" ht="15" hidden="false" customHeight="true" outlineLevel="0" collapsed="false">
      <c r="B17" s="33" t="n">
        <v>3</v>
      </c>
      <c r="C17" s="18" t="n">
        <f aca="false">F16</f>
        <v>336812.378494526</v>
      </c>
      <c r="D17" s="18" t="n">
        <f aca="false">C17*$C$6</f>
        <v>14314.5260860174</v>
      </c>
      <c r="E17" s="18" t="n">
        <f aca="false">MIN($C$11-D17,C17)</f>
        <v>16328.7632067482</v>
      </c>
      <c r="F17" s="18" t="n">
        <f aca="false">C17-E17</f>
        <v>320483.615287778</v>
      </c>
    </row>
    <row r="18" customFormat="false" ht="15" hidden="false" customHeight="true" outlineLevel="0" collapsed="false">
      <c r="B18" s="33" t="n">
        <v>4</v>
      </c>
      <c r="C18" s="18" t="n">
        <f aca="false">F17</f>
        <v>320483.615287778</v>
      </c>
      <c r="D18" s="18" t="n">
        <f aca="false">C18*$C$6</f>
        <v>13620.5536497306</v>
      </c>
      <c r="E18" s="18" t="n">
        <f aca="false">MIN($C$11-D18,C18)</f>
        <v>17022.735643035</v>
      </c>
      <c r="F18" s="18" t="n">
        <f aca="false">C18-E18</f>
        <v>303460.879644743</v>
      </c>
    </row>
    <row r="19" customFormat="false" ht="15" hidden="false" customHeight="true" outlineLevel="0" collapsed="false">
      <c r="B19" s="33" t="n">
        <v>5</v>
      </c>
      <c r="C19" s="18" t="n">
        <f aca="false">F18</f>
        <v>303460.879644743</v>
      </c>
      <c r="D19" s="18" t="n">
        <f aca="false">C19*$C$6</f>
        <v>12897.0873849016</v>
      </c>
      <c r="E19" s="18" t="n">
        <f aca="false">MIN($C$11-D19,C19)</f>
        <v>17746.201907864</v>
      </c>
      <c r="F19" s="18" t="n">
        <f aca="false">C19-E19</f>
        <v>285714.677736879</v>
      </c>
    </row>
    <row r="20" customFormat="false" ht="15" hidden="false" customHeight="true" outlineLevel="0" collapsed="false">
      <c r="B20" s="33" t="n">
        <v>6</v>
      </c>
      <c r="C20" s="18" t="n">
        <f aca="false">F19</f>
        <v>285714.677736879</v>
      </c>
      <c r="D20" s="18" t="n">
        <f aca="false">C20*$C$6</f>
        <v>12142.8738038174</v>
      </c>
      <c r="E20" s="18" t="n">
        <f aca="false">MIN($C$11-D20,C20)</f>
        <v>18500.4154889482</v>
      </c>
      <c r="F20" s="18" t="n">
        <f aca="false">C20-E20</f>
        <v>267214.262247931</v>
      </c>
    </row>
    <row r="21" customFormat="false" ht="15" hidden="false" customHeight="true" outlineLevel="0" collapsed="false">
      <c r="B21" s="33" t="n">
        <v>7</v>
      </c>
      <c r="C21" s="18" t="n">
        <f aca="false">F20</f>
        <v>267214.262247931</v>
      </c>
      <c r="D21" s="18" t="n">
        <f aca="false">C21*$C$6</f>
        <v>11356.6061455371</v>
      </c>
      <c r="E21" s="18" t="n">
        <f aca="false">MIN($C$11-D21,C21)</f>
        <v>19286.6831472285</v>
      </c>
      <c r="F21" s="18" t="n">
        <f aca="false">C21-E21</f>
        <v>247927.579100703</v>
      </c>
    </row>
    <row r="22" customFormat="false" ht="15" hidden="false" customHeight="true" outlineLevel="0" collapsed="false">
      <c r="B22" s="33" t="n">
        <v>8</v>
      </c>
      <c r="C22" s="18" t="n">
        <f aca="false">F21</f>
        <v>247927.579100703</v>
      </c>
      <c r="D22" s="18" t="n">
        <f aca="false">C22*$C$6</f>
        <v>10536.9221117799</v>
      </c>
      <c r="E22" s="18" t="n">
        <f aca="false">MIN($C$11-D22,C22)</f>
        <v>20106.3671809857</v>
      </c>
      <c r="F22" s="18" t="n">
        <f aca="false">C22-E22</f>
        <v>227821.211919717</v>
      </c>
    </row>
    <row r="23" customFormat="false" ht="15" hidden="false" customHeight="true" outlineLevel="0" collapsed="false">
      <c r="B23" s="33" t="n">
        <v>9</v>
      </c>
      <c r="C23" s="18" t="n">
        <f aca="false">F22</f>
        <v>227821.211919717</v>
      </c>
      <c r="D23" s="18" t="n">
        <f aca="false">C23*$C$6</f>
        <v>9682.40150658797</v>
      </c>
      <c r="E23" s="18" t="n">
        <f aca="false">MIN($C$11-D23,C23)</f>
        <v>20960.8877861776</v>
      </c>
      <c r="F23" s="18" t="n">
        <f aca="false">C23-E23</f>
        <v>206860.324133539</v>
      </c>
    </row>
    <row r="24" customFormat="false" ht="15" hidden="false" customHeight="true" outlineLevel="0" collapsed="false">
      <c r="B24" s="33" t="n">
        <v>10</v>
      </c>
      <c r="C24" s="18" t="n">
        <f aca="false">F23</f>
        <v>206860.324133539</v>
      </c>
      <c r="D24" s="18" t="n">
        <f aca="false">C24*$C$6</f>
        <v>8791.56377567542</v>
      </c>
      <c r="E24" s="18" t="n">
        <f aca="false">MIN($C$11-D24,C24)</f>
        <v>21851.7255170901</v>
      </c>
      <c r="F24" s="18" t="n">
        <f aca="false">C24-E24</f>
        <v>185008.598616449</v>
      </c>
    </row>
    <row r="25" customFormat="false" ht="15" hidden="false" customHeight="true" outlineLevel="0" collapsed="false">
      <c r="B25" s="33" t="n">
        <v>11</v>
      </c>
      <c r="C25" s="18" t="n">
        <f aca="false">F24</f>
        <v>185008.598616449</v>
      </c>
      <c r="D25" s="18" t="n">
        <f aca="false">C25*$C$6</f>
        <v>7862.86544119909</v>
      </c>
      <c r="E25" s="18" t="n">
        <f aca="false">MIN($C$11-D25,C25)</f>
        <v>22780.4238515665</v>
      </c>
      <c r="F25" s="18" t="n">
        <f aca="false">C25-E25</f>
        <v>162228.174764883</v>
      </c>
    </row>
    <row r="26" customFormat="false" ht="15" hidden="false" customHeight="true" outlineLevel="0" collapsed="false">
      <c r="B26" s="33" t="n">
        <v>12</v>
      </c>
      <c r="C26" s="18" t="n">
        <f aca="false">F25</f>
        <v>162228.174764883</v>
      </c>
      <c r="D26" s="18" t="n">
        <f aca="false">C26*$C$6</f>
        <v>6894.69742750752</v>
      </c>
      <c r="E26" s="18" t="n">
        <f aca="false">MIN($C$11-D26,C26)</f>
        <v>23748.591865258</v>
      </c>
      <c r="F26" s="18" t="n">
        <f aca="false">C26-E26</f>
        <v>138479.582899625</v>
      </c>
    </row>
    <row r="27" customFormat="false" ht="15" hidden="false" customHeight="true" outlineLevel="0" collapsed="false">
      <c r="B27" s="33" t="n">
        <v>13</v>
      </c>
      <c r="C27" s="18" t="n">
        <f aca="false">F26</f>
        <v>138479.582899625</v>
      </c>
      <c r="D27" s="18" t="n">
        <f aca="false">C27*$C$6</f>
        <v>5885.38227323405</v>
      </c>
      <c r="E27" s="18" t="n">
        <f aca="false">MIN($C$11-D27,C27)</f>
        <v>24757.9070195315</v>
      </c>
      <c r="F27" s="18" t="n">
        <f aca="false">C27-E27</f>
        <v>113721.675880093</v>
      </c>
    </row>
    <row r="28" customFormat="false" ht="15" hidden="false" customHeight="true" outlineLevel="0" collapsed="false">
      <c r="B28" s="33" t="n">
        <v>14</v>
      </c>
      <c r="C28" s="18" t="n">
        <f aca="false">F27</f>
        <v>113721.675880093</v>
      </c>
      <c r="D28" s="18" t="n">
        <f aca="false">C28*$C$6</f>
        <v>4833.17122490397</v>
      </c>
      <c r="E28" s="18" t="n">
        <f aca="false">MIN($C$11-D28,C28)</f>
        <v>25810.1180678616</v>
      </c>
      <c r="F28" s="18" t="n">
        <f aca="false">C28-E28</f>
        <v>87911.5578122317</v>
      </c>
    </row>
    <row r="29" customFormat="false" ht="15" hidden="false" customHeight="true" outlineLevel="0" collapsed="false">
      <c r="B29" s="33" t="n">
        <v>15</v>
      </c>
      <c r="C29" s="18" t="n">
        <f aca="false">F28</f>
        <v>87911.5578122317</v>
      </c>
      <c r="D29" s="18" t="n">
        <f aca="false">C29*$C$6</f>
        <v>3736.24120701985</v>
      </c>
      <c r="E29" s="18" t="n">
        <f aca="false">MIN($C$11-D29,C29)</f>
        <v>26907.0480857457</v>
      </c>
      <c r="F29" s="18" t="n">
        <f aca="false">C29-E29</f>
        <v>61004.509726486</v>
      </c>
    </row>
    <row r="30" customFormat="false" ht="15" hidden="false" customHeight="true" outlineLevel="0" collapsed="false">
      <c r="B30" s="33" t="n">
        <v>16</v>
      </c>
      <c r="C30" s="18" t="n">
        <f aca="false">F29</f>
        <v>61004.509726486</v>
      </c>
      <c r="D30" s="18" t="n">
        <f aca="false">C30*$C$6</f>
        <v>2592.69166337565</v>
      </c>
      <c r="E30" s="18" t="n">
        <f aca="false">MIN($C$11-D30,C30)</f>
        <v>28050.5976293899</v>
      </c>
      <c r="F30" s="18" t="n">
        <f aca="false">C30-E30</f>
        <v>32953.9120970961</v>
      </c>
    </row>
    <row r="31" customFormat="false" ht="15" hidden="false" customHeight="true" outlineLevel="0" collapsed="false">
      <c r="B31" s="33" t="n">
        <v>17</v>
      </c>
      <c r="C31" s="18" t="n">
        <f aca="false">F30</f>
        <v>32953.9120970961</v>
      </c>
      <c r="D31" s="18" t="n">
        <f aca="false">C31*$C$6</f>
        <v>1400.54126412658</v>
      </c>
      <c r="E31" s="18" t="n">
        <f aca="false">MIN($C$11-D31,C31)</f>
        <v>29242.748028639</v>
      </c>
      <c r="F31" s="18" t="n">
        <f aca="false">C31-E31</f>
        <v>3711.16406845712</v>
      </c>
    </row>
    <row r="32" customFormat="false" ht="15" hidden="false" customHeight="true" outlineLevel="0" collapsed="false">
      <c r="B32" s="33" t="n">
        <v>18</v>
      </c>
      <c r="C32" s="18" t="n">
        <f aca="false">F31</f>
        <v>3711.16406845712</v>
      </c>
      <c r="D32" s="18" t="n">
        <f aca="false">C32*$C$6</f>
        <v>157.724472909428</v>
      </c>
      <c r="E32" s="18" t="n">
        <f aca="false">MIN($C$11-D32,C32)</f>
        <v>3711.16406845712</v>
      </c>
      <c r="F32" s="18" t="n">
        <f aca="false">C32-E32</f>
        <v>0</v>
      </c>
    </row>
    <row r="33" customFormat="false" ht="15" hidden="false" customHeight="true" outlineLevel="0" collapsed="false">
      <c r="B33" s="33" t="n">
        <v>19</v>
      </c>
      <c r="C33" s="18" t="n">
        <f aca="false">F32</f>
        <v>0</v>
      </c>
      <c r="D33" s="18" t="n">
        <f aca="false">C33*$C$6</f>
        <v>0</v>
      </c>
      <c r="E33" s="18" t="n">
        <f aca="false">MIN($C$11-D33,C33)</f>
        <v>0</v>
      </c>
      <c r="F33" s="18" t="n">
        <f aca="false">C33-E33</f>
        <v>0</v>
      </c>
    </row>
    <row r="34" customFormat="false" ht="15" hidden="false" customHeight="true" outlineLevel="0" collapsed="false">
      <c r="B34" s="33" t="n">
        <v>20</v>
      </c>
      <c r="C34" s="18" t="n">
        <f aca="false">F33</f>
        <v>0</v>
      </c>
      <c r="D34" s="18" t="n">
        <f aca="false">C34*$C$6</f>
        <v>0</v>
      </c>
      <c r="E34" s="18" t="n">
        <f aca="false">MIN($C$11-D34,C34)</f>
        <v>0</v>
      </c>
      <c r="F34" s="18" t="n">
        <f aca="false">C34-E34</f>
        <v>0</v>
      </c>
    </row>
    <row r="35" customFormat="false" ht="63.75" hidden="false" customHeight="true" outlineLevel="0" collapsed="false">
      <c r="B35" s="3" t="s">
        <v>164</v>
      </c>
      <c r="C35" s="34" t="n">
        <f aca="false">COUNTIF(F15:F34,"&gt;1")+1</f>
        <v>18</v>
      </c>
      <c r="E35" s="25" t="s">
        <v>165</v>
      </c>
    </row>
  </sheetData>
  <mergeCells count="2">
    <mergeCell ref="B3:E3"/>
    <mergeCell ref="B13:E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4"/>
    <col collapsed="false" customWidth="true" hidden="false" outlineLevel="0" max="3" min="3" style="1" width="10"/>
    <col collapsed="false" customWidth="true" hidden="false" outlineLevel="0" max="4" min="4" style="1" width="14"/>
    <col collapsed="false" customWidth="true" hidden="false" outlineLevel="0" max="5" min="5" style="1" width="11"/>
    <col collapsed="false" customWidth="true" hidden="false" outlineLevel="0" max="6" min="6" style="1" width="13"/>
    <col collapsed="false" customWidth="true" hidden="false" outlineLevel="0" max="7" min="7" style="1" width="10"/>
    <col collapsed="false" customWidth="true" hidden="false" outlineLevel="0" max="8" min="8" style="1" width="13"/>
    <col collapsed="false" customWidth="true" hidden="false" outlineLevel="0" max="9" min="9" style="1" width="3"/>
    <col collapsed="false" customWidth="true" hidden="false" outlineLevel="0" max="10" min="10" style="1" width="50"/>
  </cols>
  <sheetData>
    <row r="3" customFormat="false" ht="21.75" hidden="false" customHeight="true" outlineLevel="0" collapsed="false">
      <c r="B3" s="31" t="s">
        <v>166</v>
      </c>
      <c r="C3" s="31"/>
      <c r="D3" s="31"/>
      <c r="E3" s="31"/>
      <c r="F3" s="31"/>
      <c r="G3" s="31"/>
      <c r="H3" s="31"/>
    </row>
    <row r="5" customFormat="false" ht="27.75" hidden="false" customHeight="true" outlineLevel="0" collapsed="false">
      <c r="B5" s="20" t="s">
        <v>167</v>
      </c>
      <c r="C5" s="20" t="s">
        <v>168</v>
      </c>
      <c r="D5" s="20" t="s">
        <v>169</v>
      </c>
      <c r="E5" s="20" t="s">
        <v>170</v>
      </c>
      <c r="F5" s="20" t="s">
        <v>171</v>
      </c>
      <c r="G5" s="20" t="s">
        <v>172</v>
      </c>
      <c r="H5" s="20" t="s">
        <v>173</v>
      </c>
    </row>
    <row r="6" customFormat="false" ht="21.75" hidden="false" customHeight="true" outlineLevel="0" collapsed="false">
      <c r="B6" s="4" t="s">
        <v>174</v>
      </c>
      <c r="C6" s="23" t="n">
        <v>0.4</v>
      </c>
      <c r="D6" s="18" t="n">
        <f aca="false">C6*Allocation!$D$15</f>
        <v>171120</v>
      </c>
      <c r="E6" s="32" t="n">
        <v>0</v>
      </c>
      <c r="F6" s="18" t="n">
        <f aca="false">D6*E6</f>
        <v>0</v>
      </c>
      <c r="G6" s="23" t="n">
        <v>0</v>
      </c>
      <c r="H6" s="18" t="n">
        <f aca="false">F6*(1-G6)</f>
        <v>0</v>
      </c>
      <c r="J6" s="25" t="s">
        <v>175</v>
      </c>
    </row>
    <row r="7" customFormat="false" ht="15" hidden="false" customHeight="true" outlineLevel="0" collapsed="false">
      <c r="B7" s="4" t="s">
        <v>176</v>
      </c>
      <c r="C7" s="23" t="n">
        <v>0.25</v>
      </c>
      <c r="D7" s="18" t="n">
        <f aca="false">C7*Allocation!$D$15</f>
        <v>106950</v>
      </c>
      <c r="E7" s="32" t="n">
        <v>0.038</v>
      </c>
      <c r="F7" s="18" t="n">
        <f aca="false">D7*E7</f>
        <v>4064.1</v>
      </c>
      <c r="G7" s="23" t="n">
        <v>0.05</v>
      </c>
      <c r="H7" s="18" t="n">
        <f aca="false">F7*(1-G7)</f>
        <v>3860.895</v>
      </c>
      <c r="J7" s="25" t="s">
        <v>177</v>
      </c>
    </row>
    <row r="8" customFormat="false" ht="21.75" hidden="false" customHeight="true" outlineLevel="0" collapsed="false">
      <c r="B8" s="4" t="s">
        <v>178</v>
      </c>
      <c r="C8" s="23" t="n">
        <v>0.15</v>
      </c>
      <c r="D8" s="18" t="n">
        <f aca="false">C8*Allocation!$D$15</f>
        <v>64170</v>
      </c>
      <c r="E8" s="32" t="n">
        <v>0.02</v>
      </c>
      <c r="F8" s="18" t="n">
        <f aca="false">D8*E8</f>
        <v>1283.4</v>
      </c>
      <c r="G8" s="23" t="n">
        <v>0.05</v>
      </c>
      <c r="H8" s="18" t="n">
        <f aca="false">F8*(1-G8)</f>
        <v>1219.23</v>
      </c>
      <c r="J8" s="25" t="s">
        <v>179</v>
      </c>
    </row>
    <row r="9" customFormat="false" ht="15" hidden="false" customHeight="true" outlineLevel="0" collapsed="false">
      <c r="B9" s="4" t="s">
        <v>180</v>
      </c>
      <c r="C9" s="23" t="n">
        <v>0.1</v>
      </c>
      <c r="D9" s="18" t="n">
        <f aca="false">C9*Allocation!$D$15</f>
        <v>42780</v>
      </c>
      <c r="E9" s="32" t="n">
        <v>0</v>
      </c>
      <c r="F9" s="18" t="n">
        <f aca="false">D9*E9</f>
        <v>0</v>
      </c>
      <c r="G9" s="23" t="n">
        <v>0</v>
      </c>
      <c r="H9" s="18" t="n">
        <f aca="false">F9*(1-G9)</f>
        <v>0</v>
      </c>
      <c r="J9" s="25" t="s">
        <v>181</v>
      </c>
    </row>
    <row r="10" customFormat="false" ht="15" hidden="false" customHeight="true" outlineLevel="0" collapsed="false">
      <c r="B10" s="4" t="s">
        <v>182</v>
      </c>
      <c r="C10" s="23" t="n">
        <v>0.1</v>
      </c>
      <c r="D10" s="18" t="n">
        <f aca="false">C10*Allocation!$D$15</f>
        <v>42780</v>
      </c>
      <c r="E10" s="32" t="n">
        <v>0.025</v>
      </c>
      <c r="F10" s="18" t="n">
        <f aca="false">D10*E10</f>
        <v>1069.5</v>
      </c>
      <c r="G10" s="23" t="n">
        <v>0.15</v>
      </c>
      <c r="H10" s="18" t="n">
        <f aca="false">F10*(1-G10)</f>
        <v>909.075</v>
      </c>
      <c r="J10" s="25" t="s">
        <v>183</v>
      </c>
    </row>
    <row r="11" customFormat="false" ht="15" hidden="false" customHeight="true" outlineLevel="0" collapsed="false">
      <c r="B11" s="3" t="s">
        <v>103</v>
      </c>
      <c r="C11" s="24" t="n">
        <f aca="false">SUM(C6:C10)</f>
        <v>1</v>
      </c>
      <c r="D11" s="21" t="n">
        <f aca="false">SUM(D6:D10)</f>
        <v>427800</v>
      </c>
      <c r="F11" s="21" t="n">
        <f aca="false">SUM(F6:F10)</f>
        <v>6417</v>
      </c>
      <c r="H11" s="21" t="n">
        <f aca="false">SUM(H6:H10)</f>
        <v>5989.2</v>
      </c>
    </row>
    <row r="13" customFormat="false" ht="18" hidden="false" customHeight="true" outlineLevel="0" collapsed="false">
      <c r="B13" s="5" t="s">
        <v>184</v>
      </c>
      <c r="C13" s="5"/>
      <c r="D13" s="5"/>
      <c r="E13" s="5"/>
      <c r="F13" s="5"/>
      <c r="G13" s="5"/>
      <c r="H13" s="5"/>
    </row>
    <row r="14" customFormat="false" ht="15" hidden="false" customHeight="true" outlineLevel="0" collapsed="false">
      <c r="B14" s="4" t="s">
        <v>185</v>
      </c>
      <c r="D14" s="23" t="n">
        <v>0.07</v>
      </c>
      <c r="J14" s="25" t="s">
        <v>186</v>
      </c>
    </row>
    <row r="15" customFormat="false" ht="15" hidden="false" customHeight="true" outlineLevel="0" collapsed="false">
      <c r="B15" s="4" t="s">
        <v>187</v>
      </c>
      <c r="D15" s="23" t="n">
        <v>0.09</v>
      </c>
    </row>
    <row r="16" customFormat="false" ht="15" hidden="false" customHeight="true" outlineLevel="0" collapsed="false">
      <c r="B16" s="3" t="s">
        <v>188</v>
      </c>
      <c r="D16" s="35" t="n">
        <f aca="false">C6*D14+C7*0.055+C8*D15+C9*0.045+C10*0.025</f>
        <v>0.06225</v>
      </c>
      <c r="J16" s="25" t="s">
        <v>189</v>
      </c>
    </row>
  </sheetData>
  <mergeCells count="2">
    <mergeCell ref="B3:H3"/>
    <mergeCell ref="B13:H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8"/>
    <col collapsed="false" customWidth="true" hidden="false" outlineLevel="0" max="3" min="3" style="1" width="15"/>
    <col collapsed="false" customWidth="true" hidden="false" outlineLevel="0" max="4" min="4" style="1" width="3"/>
    <col collapsed="false" customWidth="true" hidden="false" outlineLevel="0" max="5" min="5" style="1" width="54"/>
  </cols>
  <sheetData>
    <row r="3" customFormat="false" ht="21.75" hidden="false" customHeight="true" outlineLevel="0" collapsed="false">
      <c r="B3" s="31" t="s">
        <v>190</v>
      </c>
      <c r="C3" s="31"/>
      <c r="D3" s="31"/>
      <c r="E3" s="31"/>
    </row>
    <row r="5" customFormat="false" ht="18" hidden="false" customHeight="true" outlineLevel="0" collapsed="false">
      <c r="B5" s="5" t="s">
        <v>191</v>
      </c>
      <c r="C5" s="5"/>
      <c r="D5" s="5"/>
      <c r="E5" s="5"/>
    </row>
    <row r="6" customFormat="false" ht="15" hidden="false" customHeight="true" outlineLevel="0" collapsed="false">
      <c r="B6" s="15" t="s">
        <v>192</v>
      </c>
      <c r="C6" s="15"/>
      <c r="D6" s="15"/>
      <c r="E6" s="15"/>
    </row>
    <row r="7" customFormat="false" ht="15" hidden="false" customHeight="true" outlineLevel="0" collapsed="false">
      <c r="B7" s="15"/>
      <c r="C7" s="15"/>
      <c r="D7" s="15"/>
      <c r="E7" s="15"/>
    </row>
    <row r="8" customFormat="false" ht="15" hidden="false" customHeight="true" outlineLevel="0" collapsed="false">
      <c r="B8" s="15"/>
      <c r="C8" s="15"/>
      <c r="D8" s="15"/>
      <c r="E8" s="15"/>
    </row>
    <row r="10" customFormat="false" ht="18" hidden="false" customHeight="true" outlineLevel="0" collapsed="false">
      <c r="B10" s="5" t="s">
        <v>193</v>
      </c>
      <c r="C10" s="5"/>
      <c r="D10" s="5"/>
      <c r="E10" s="5"/>
    </row>
    <row r="11" customFormat="false" ht="15" hidden="false" customHeight="true" outlineLevel="0" collapsed="false">
      <c r="B11" s="4" t="s">
        <v>194</v>
      </c>
      <c r="C11" s="18" t="n">
        <f aca="false">SUM('Property Schedule'!$C$13,'Property Schedule'!$D$13,'Property Schedule'!$E$13,'Property Schedule'!$F$13)</f>
        <v>54888.5</v>
      </c>
      <c r="E11" s="25" t="s">
        <v>195</v>
      </c>
    </row>
    <row r="12" customFormat="false" ht="15" hidden="false" customHeight="true" outlineLevel="0" collapsed="false">
      <c r="B12" s="4" t="s">
        <v>196</v>
      </c>
      <c r="C12" s="18" t="n">
        <f aca="false">SUM('Property Schedule'!$C$21,'Property Schedule'!$D$21,'Property Schedule'!$E$21,'Property Schedule'!$F$21)</f>
        <v>-14513.3385</v>
      </c>
    </row>
    <row r="13" customFormat="false" ht="21.75" hidden="false" customHeight="true" outlineLevel="0" collapsed="false">
      <c r="B13" s="4" t="s">
        <v>197</v>
      </c>
      <c r="C13" s="18" t="n">
        <f aca="false">-'Debt Schedule'!D15</f>
        <v>-15618.75</v>
      </c>
      <c r="E13" s="25" t="s">
        <v>198</v>
      </c>
    </row>
    <row r="14" customFormat="false" ht="15" hidden="false" customHeight="true" outlineLevel="0" collapsed="false">
      <c r="B14" s="4" t="s">
        <v>199</v>
      </c>
      <c r="C14" s="13" t="n">
        <v>-2500</v>
      </c>
      <c r="E14" s="25" t="s">
        <v>200</v>
      </c>
    </row>
    <row r="15" customFormat="false" ht="15" hidden="false" customHeight="true" outlineLevel="0" collapsed="false">
      <c r="B15" s="4" t="s">
        <v>201</v>
      </c>
      <c r="C15" s="18" t="n">
        <f aca="false">-(3*175000+250000)*0.8*0.04</f>
        <v>-24800</v>
      </c>
      <c r="E15" s="25" t="s">
        <v>202</v>
      </c>
    </row>
    <row r="16" customFormat="false" ht="15" hidden="false" customHeight="true" outlineLevel="0" collapsed="false">
      <c r="B16" s="3" t="s">
        <v>203</v>
      </c>
      <c r="C16" s="21" t="n">
        <f aca="false">SUM(C11:C15)</f>
        <v>-2543.58850000001</v>
      </c>
    </row>
    <row r="17" customFormat="false" ht="15" hidden="false" customHeight="true" outlineLevel="0" collapsed="false">
      <c r="B17" s="4" t="s">
        <v>204</v>
      </c>
      <c r="C17" s="18" t="n">
        <f aca="false">-MAX(0,C16)*0.22</f>
        <v>-0</v>
      </c>
      <c r="E17" s="25" t="s">
        <v>205</v>
      </c>
    </row>
    <row r="18" customFormat="false" ht="15" hidden="false" customHeight="true" outlineLevel="0" collapsed="false">
      <c r="B18" s="3" t="s">
        <v>206</v>
      </c>
      <c r="C18" s="21" t="n">
        <f aca="false">C16+C17</f>
        <v>-2543.58850000001</v>
      </c>
    </row>
    <row r="20" customFormat="false" ht="18" hidden="false" customHeight="true" outlineLevel="0" collapsed="false">
      <c r="B20" s="5" t="s">
        <v>207</v>
      </c>
      <c r="C20" s="5"/>
      <c r="D20" s="5"/>
      <c r="E20" s="5"/>
    </row>
    <row r="21" customFormat="false" ht="15" hidden="false" customHeight="true" outlineLevel="0" collapsed="false">
      <c r="B21" s="4" t="s">
        <v>208</v>
      </c>
      <c r="C21" s="18" t="n">
        <f aca="false">C11+C12+C14</f>
        <v>37875.1615</v>
      </c>
    </row>
    <row r="22" customFormat="false" ht="15" hidden="false" customHeight="true" outlineLevel="0" collapsed="false">
      <c r="B22" s="4" t="s">
        <v>209</v>
      </c>
      <c r="C22" s="18" t="n">
        <f aca="false">-'Debt Schedule'!C11</f>
        <v>-30643.2892927656</v>
      </c>
    </row>
    <row r="23" customFormat="false" ht="15" hidden="false" customHeight="true" outlineLevel="0" collapsed="false">
      <c r="B23" s="3" t="s">
        <v>210</v>
      </c>
      <c r="C23" s="21" t="n">
        <f aca="false">C21+C22</f>
        <v>7231.87220723445</v>
      </c>
    </row>
    <row r="24" customFormat="false" ht="15" hidden="false" customHeight="true" outlineLevel="0" collapsed="false">
      <c r="B24" s="4" t="s">
        <v>211</v>
      </c>
      <c r="C24" s="18" t="n">
        <f aca="false">-MAX(0,C23)*0.05</f>
        <v>-361.593610361723</v>
      </c>
    </row>
    <row r="25" customFormat="false" ht="42.75" hidden="false" customHeight="true" outlineLevel="0" collapsed="false">
      <c r="B25" s="3" t="s">
        <v>212</v>
      </c>
      <c r="C25" s="17" t="n">
        <f aca="false">C23+C24</f>
        <v>6870.27859687273</v>
      </c>
      <c r="E25" s="25" t="s">
        <v>213</v>
      </c>
    </row>
    <row r="28" customFormat="false" ht="15" hidden="false" customHeight="true" outlineLevel="0" collapsed="false">
      <c r="B28" s="5" t="s">
        <v>214</v>
      </c>
      <c r="C28" s="5"/>
      <c r="D28" s="5"/>
      <c r="E28" s="5"/>
    </row>
    <row r="29" customFormat="false" ht="15" hidden="false" customHeight="true" outlineLevel="0" collapsed="false">
      <c r="B29" s="15" t="s">
        <v>215</v>
      </c>
      <c r="C29" s="15"/>
      <c r="D29" s="15"/>
      <c r="E29" s="15"/>
    </row>
    <row r="30" customFormat="false" ht="15" hidden="false" customHeight="true" outlineLevel="0" collapsed="false">
      <c r="B30" s="15"/>
      <c r="C30" s="15"/>
      <c r="D30" s="15"/>
      <c r="E30" s="15"/>
    </row>
    <row r="31" customFormat="false" ht="15" hidden="false" customHeight="true" outlineLevel="0" collapsed="false">
      <c r="B31" s="15"/>
      <c r="C31" s="15"/>
      <c r="D31" s="15"/>
      <c r="E31" s="15"/>
    </row>
    <row r="33" customFormat="false" ht="15" hidden="false" customHeight="true" outlineLevel="0" collapsed="false">
      <c r="B33" s="4" t="s">
        <v>131</v>
      </c>
      <c r="C33" s="18" t="n">
        <f aca="false">C21</f>
        <v>37875.1615</v>
      </c>
    </row>
    <row r="34" customFormat="false" ht="15" hidden="false" customHeight="true" outlineLevel="0" collapsed="false">
      <c r="B34" s="4" t="s">
        <v>216</v>
      </c>
      <c r="C34" s="18" t="n">
        <f aca="false">-'Debt Schedule'!D15</f>
        <v>-15618.75</v>
      </c>
      <c r="E34" s="25" t="s">
        <v>217</v>
      </c>
    </row>
    <row r="35" customFormat="false" ht="15" hidden="false" customHeight="true" outlineLevel="0" collapsed="false">
      <c r="B35" s="4" t="s">
        <v>218</v>
      </c>
      <c r="C35" s="18" t="n">
        <f aca="false">C17+C24</f>
        <v>-361.593610361723</v>
      </c>
    </row>
    <row r="36" customFormat="false" ht="15" hidden="false" customHeight="true" outlineLevel="0" collapsed="false">
      <c r="B36" s="3" t="s">
        <v>219</v>
      </c>
      <c r="C36" s="21" t="n">
        <f aca="false">C33+C34+C35</f>
        <v>21894.8178896383</v>
      </c>
      <c r="E36" s="25" t="s">
        <v>220</v>
      </c>
    </row>
    <row r="38" customFormat="false" ht="15" hidden="false" customHeight="true" outlineLevel="0" collapsed="false">
      <c r="B38" s="4" t="s">
        <v>221</v>
      </c>
      <c r="C38" s="18" t="n">
        <f aca="false">C25</f>
        <v>6870.27859687273</v>
      </c>
    </row>
    <row r="39" customFormat="false" ht="21.75" hidden="false" customHeight="true" outlineLevel="0" collapsed="false">
      <c r="B39" s="4" t="s">
        <v>222</v>
      </c>
      <c r="C39" s="18" t="n">
        <f aca="false">'Debt Schedule'!E15+'Debt Schedule'!C8</f>
        <v>18024.5392927656</v>
      </c>
      <c r="E39" s="25" t="s">
        <v>223</v>
      </c>
    </row>
    <row r="40" customFormat="false" ht="15" hidden="false" customHeight="true" outlineLevel="0" collapsed="false">
      <c r="B40" s="3" t="s">
        <v>103</v>
      </c>
      <c r="C40" s="21" t="n">
        <f aca="false">C38+C39</f>
        <v>24894.8178896383</v>
      </c>
    </row>
    <row r="42" customFormat="false" ht="15" hidden="false" customHeight="true" outlineLevel="0" collapsed="false">
      <c r="B42" s="4" t="s">
        <v>224</v>
      </c>
      <c r="C42" s="18" t="n">
        <f aca="false">157500+250000</f>
        <v>407500</v>
      </c>
      <c r="E42" s="25" t="s">
        <v>225</v>
      </c>
    </row>
    <row r="43" customFormat="false" ht="15" hidden="false" customHeight="true" outlineLevel="0" collapsed="false">
      <c r="B43" s="4" t="s">
        <v>226</v>
      </c>
      <c r="C43" s="19" t="n">
        <f aca="false">C38/C42</f>
        <v>0.0168595793788288</v>
      </c>
      <c r="E43" s="25" t="s">
        <v>227</v>
      </c>
    </row>
    <row r="44" customFormat="false" ht="15" hidden="false" customHeight="true" outlineLevel="0" collapsed="false">
      <c r="B44" s="3" t="s">
        <v>228</v>
      </c>
      <c r="C44" s="36" t="n">
        <f aca="false">C36/C42</f>
        <v>0.0537296144531001</v>
      </c>
      <c r="E44" s="25" t="s">
        <v>229</v>
      </c>
    </row>
    <row r="45" customFormat="false" ht="21.75" hidden="false" customHeight="true" outlineLevel="0" collapsed="false">
      <c r="B45" s="3" t="s">
        <v>230</v>
      </c>
      <c r="C45" s="36" t="n">
        <f aca="false">C40/C42</f>
        <v>0.0610915776432841</v>
      </c>
      <c r="E45" s="25" t="s">
        <v>231</v>
      </c>
    </row>
  </sheetData>
  <mergeCells count="7">
    <mergeCell ref="B3:E3"/>
    <mergeCell ref="B5:E5"/>
    <mergeCell ref="B6:E8"/>
    <mergeCell ref="B10:E10"/>
    <mergeCell ref="B20:E20"/>
    <mergeCell ref="B28:E28"/>
    <mergeCell ref="B29:E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4"/>
    <col collapsed="false" customWidth="true" hidden="false" outlineLevel="0" max="3" min="3" style="1" width="14"/>
    <col collapsed="false" customWidth="true" hidden="false" outlineLevel="0" max="4" min="4" style="1" width="3"/>
    <col collapsed="false" customWidth="true" hidden="false" outlineLevel="0" max="5" min="5" style="1" width="34"/>
    <col collapsed="false" customWidth="true" hidden="false" outlineLevel="0" max="6" min="6" style="1" width="14"/>
    <col collapsed="false" customWidth="true" hidden="false" outlineLevel="0" max="7" min="7" style="1" width="3"/>
    <col collapsed="false" customWidth="true" hidden="false" outlineLevel="0" max="8" min="8" style="1" width="46"/>
  </cols>
  <sheetData>
    <row r="3" customFormat="false" ht="21.75" hidden="false" customHeight="true" outlineLevel="0" collapsed="false">
      <c r="B3" s="31" t="s">
        <v>232</v>
      </c>
      <c r="C3" s="31"/>
      <c r="D3" s="31"/>
      <c r="E3" s="31"/>
      <c r="F3" s="31"/>
    </row>
    <row r="5" customFormat="false" ht="15" hidden="false" customHeight="true" outlineLevel="0" collapsed="false">
      <c r="B5" s="37" t="s">
        <v>233</v>
      </c>
      <c r="E5" s="37" t="s">
        <v>234</v>
      </c>
    </row>
    <row r="6" customFormat="false" ht="15" hidden="false" customHeight="true" outlineLevel="0" collapsed="false">
      <c r="B6" s="38" t="s">
        <v>235</v>
      </c>
      <c r="E6" s="38" t="s">
        <v>236</v>
      </c>
    </row>
    <row r="8" customFormat="false" ht="15" hidden="false" customHeight="true" outlineLevel="0" collapsed="false">
      <c r="B8" s="3" t="s">
        <v>237</v>
      </c>
      <c r="E8" s="3" t="s">
        <v>238</v>
      </c>
    </row>
    <row r="9" customFormat="false" ht="15" hidden="false" customHeight="true" outlineLevel="0" collapsed="false">
      <c r="B9" s="4" t="s">
        <v>239</v>
      </c>
      <c r="C9" s="18" t="n">
        <f aca="false">Allocation!$D$13</f>
        <v>40000</v>
      </c>
      <c r="E9" s="4" t="s">
        <v>240</v>
      </c>
      <c r="F9" s="18" t="n">
        <f aca="false">'Client Profile'!D8*12</f>
        <v>30000</v>
      </c>
      <c r="H9" s="25" t="s">
        <v>241</v>
      </c>
    </row>
    <row r="10" customFormat="false" ht="15" hidden="false" customHeight="true" outlineLevel="0" collapsed="false">
      <c r="B10" s="4" t="s">
        <v>242</v>
      </c>
      <c r="C10" s="18" t="n">
        <f aca="false">Portfolio!$D$11</f>
        <v>427800</v>
      </c>
      <c r="E10" s="4" t="s">
        <v>243</v>
      </c>
      <c r="F10" s="18" t="n">
        <f aca="false">'Property Schedule'!$G$23-('Property Schedule'!$G$13*0.95*0.15)</f>
        <v>7147.7</v>
      </c>
      <c r="H10" s="25" t="s">
        <v>244</v>
      </c>
    </row>
    <row r="11" customFormat="false" ht="15" hidden="false" customHeight="true" outlineLevel="0" collapsed="false">
      <c r="B11" s="4" t="s">
        <v>245</v>
      </c>
      <c r="C11" s="18" t="n">
        <f aca="false">Allocation!$D$8</f>
        <v>215000</v>
      </c>
      <c r="E11" s="4" t="s">
        <v>246</v>
      </c>
      <c r="F11" s="18" t="n">
        <f aca="false">'IKE Tax'!$C$25</f>
        <v>6870.27859687273</v>
      </c>
    </row>
    <row r="12" customFormat="false" ht="15" hidden="false" customHeight="true" outlineLevel="0" collapsed="false">
      <c r="B12" s="4" t="s">
        <v>247</v>
      </c>
      <c r="C12" s="18" t="n">
        <f aca="false">3*175000+250000</f>
        <v>775000</v>
      </c>
      <c r="E12" s="4" t="s">
        <v>248</v>
      </c>
      <c r="F12" s="18" t="n">
        <f aca="false">Portfolio!$H$11</f>
        <v>5989.2</v>
      </c>
    </row>
    <row r="13" customFormat="false" ht="15" hidden="false" customHeight="true" outlineLevel="0" collapsed="false">
      <c r="B13" s="4" t="s">
        <v>249</v>
      </c>
      <c r="C13" s="13" t="n">
        <v>167500</v>
      </c>
      <c r="E13" s="3" t="s">
        <v>250</v>
      </c>
      <c r="F13" s="21" t="n">
        <f aca="false">SUM(F9:F12)</f>
        <v>50007.1785968727</v>
      </c>
      <c r="H13" s="25" t="s">
        <v>251</v>
      </c>
    </row>
    <row r="14" customFormat="false" ht="15" hidden="false" customHeight="true" outlineLevel="0" collapsed="false">
      <c r="B14" s="4" t="s">
        <v>252</v>
      </c>
      <c r="C14" s="13" t="n">
        <v>120000</v>
      </c>
      <c r="H14" s="25" t="s">
        <v>253</v>
      </c>
    </row>
    <row r="15" customFormat="false" ht="15" hidden="false" customHeight="true" outlineLevel="0" collapsed="false">
      <c r="B15" s="3" t="s">
        <v>254</v>
      </c>
      <c r="C15" s="21" t="n">
        <f aca="false">SUM(C9:C13)</f>
        <v>1625300</v>
      </c>
      <c r="E15" s="4" t="s">
        <v>255</v>
      </c>
      <c r="F15" s="39" t="n">
        <f aca="false">'Client Profile'!D9*12</f>
        <v>12000</v>
      </c>
      <c r="H15" s="25" t="s">
        <v>256</v>
      </c>
    </row>
    <row r="16" customFormat="false" ht="15" hidden="false" customHeight="true" outlineLevel="0" collapsed="false">
      <c r="E16" s="3" t="s">
        <v>257</v>
      </c>
      <c r="F16" s="40" t="n">
        <f aca="false">(F13+F15)/12</f>
        <v>5167.26488307273</v>
      </c>
    </row>
    <row r="17" customFormat="false" ht="15" hidden="false" customHeight="true" outlineLevel="0" collapsed="false">
      <c r="B17" s="3" t="s">
        <v>258</v>
      </c>
      <c r="E17" s="4" t="s">
        <v>259</v>
      </c>
      <c r="F17" s="41" t="n">
        <v>5200</v>
      </c>
    </row>
    <row r="18" customFormat="false" ht="15" hidden="false" customHeight="true" outlineLevel="0" collapsed="false">
      <c r="B18" s="4" t="s">
        <v>260</v>
      </c>
      <c r="C18" s="18" t="n">
        <f aca="false">'Debt Schedule'!$C$5</f>
        <v>367500</v>
      </c>
      <c r="E18" s="3" t="s">
        <v>261</v>
      </c>
      <c r="F18" s="42" t="n">
        <f aca="false">F16-F17</f>
        <v>-32.7351169272724</v>
      </c>
      <c r="H18" s="25" t="s">
        <v>262</v>
      </c>
    </row>
    <row r="19" customFormat="false" ht="15" hidden="false" customHeight="true" outlineLevel="0" collapsed="false">
      <c r="B19" s="3" t="s">
        <v>263</v>
      </c>
      <c r="C19" s="21" t="n">
        <f aca="false">C18</f>
        <v>367500</v>
      </c>
      <c r="E19" s="3" t="s">
        <v>264</v>
      </c>
      <c r="F19" s="43" t="n">
        <f aca="false">F13/12</f>
        <v>4167.26488307273</v>
      </c>
      <c r="H19" s="25" t="s">
        <v>265</v>
      </c>
    </row>
    <row r="20" customFormat="false" ht="32.25" hidden="false" customHeight="true" outlineLevel="0" collapsed="false">
      <c r="E20" s="3" t="s">
        <v>266</v>
      </c>
    </row>
    <row r="21" customFormat="false" ht="15" hidden="false" customHeight="true" outlineLevel="0" collapsed="false">
      <c r="B21" s="3" t="s">
        <v>267</v>
      </c>
      <c r="C21" s="17" t="n">
        <f aca="false">C15-C19</f>
        <v>1257800</v>
      </c>
      <c r="E21" s="4" t="s">
        <v>268</v>
      </c>
      <c r="F21" s="13" t="n">
        <v>9600</v>
      </c>
      <c r="H21" s="25" t="s">
        <v>269</v>
      </c>
    </row>
    <row r="22" customFormat="false" ht="15" hidden="false" customHeight="true" outlineLevel="0" collapsed="false">
      <c r="E22" s="3" t="s">
        <v>270</v>
      </c>
      <c r="F22" s="42" t="n">
        <f aca="false">(F13+F15+F21)/12-F17</f>
        <v>767.264883072727</v>
      </c>
    </row>
    <row r="23" customFormat="false" ht="15" hidden="false" customHeight="true" outlineLevel="0" collapsed="false"/>
    <row r="24" customFormat="false" ht="32.25" hidden="false" customHeight="true" outlineLevel="0" collapsed="false">
      <c r="E24" s="44" t="s">
        <v>271</v>
      </c>
      <c r="F24" s="45"/>
    </row>
    <row r="25" customFormat="false" ht="15" hidden="false" customHeight="true" outlineLevel="0" collapsed="false">
      <c r="E25" s="4" t="s">
        <v>272</v>
      </c>
      <c r="F25" s="41" t="n">
        <v>600</v>
      </c>
      <c r="H25" s="25" t="s">
        <v>273</v>
      </c>
    </row>
    <row r="26" customFormat="false" ht="21.75" hidden="false" customHeight="true" outlineLevel="0" collapsed="false">
      <c r="E26" s="4" t="s">
        <v>274</v>
      </c>
      <c r="F26" s="39" t="n">
        <f aca="false">F25*12</f>
        <v>7200</v>
      </c>
    </row>
    <row r="27" customFormat="false" ht="21.75" hidden="false" customHeight="true" outlineLevel="0" collapsed="false">
      <c r="E27" s="4" t="s">
        <v>275</v>
      </c>
      <c r="F27" s="46" t="n">
        <f aca="false">60000/F26</f>
        <v>8.33333333333333</v>
      </c>
      <c r="H27" s="25" t="s">
        <v>276</v>
      </c>
    </row>
  </sheetData>
  <mergeCells count="1">
    <mergeCell ref="B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G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8"/>
    <col collapsed="false" customWidth="true" hidden="false" outlineLevel="0" max="3" min="3" style="1" width="14"/>
    <col collapsed="false" customWidth="true" hidden="false" outlineLevel="0" max="4" min="4" style="1" width="3"/>
    <col collapsed="false" customWidth="true" hidden="false" outlineLevel="0" max="5" min="5" style="1" width="40"/>
    <col collapsed="false" customWidth="true" hidden="false" outlineLevel="0" max="6" min="6" style="1" width="3"/>
    <col collapsed="false" customWidth="true" hidden="false" outlineLevel="0" max="7" min="7" style="1" width="44"/>
  </cols>
  <sheetData>
    <row r="3" customFormat="false" ht="21.75" hidden="false" customHeight="true" outlineLevel="0" collapsed="false">
      <c r="B3" s="31" t="s">
        <v>28</v>
      </c>
      <c r="C3" s="31"/>
      <c r="D3" s="31"/>
      <c r="E3" s="31"/>
      <c r="F3" s="31"/>
      <c r="G3" s="31"/>
    </row>
    <row r="5" customFormat="false" ht="21.75" hidden="false" customHeight="true" outlineLevel="0" collapsed="false">
      <c r="B5" s="4" t="s">
        <v>277</v>
      </c>
      <c r="C5" s="47" t="n">
        <f aca="false">Allocation!D13/1750</f>
        <v>22.8571428571429</v>
      </c>
      <c r="E5" s="25" t="s">
        <v>278</v>
      </c>
    </row>
    <row r="6" customFormat="false" ht="15" hidden="false" customHeight="true" outlineLevel="0" collapsed="false">
      <c r="B6" s="4" t="s">
        <v>279</v>
      </c>
      <c r="C6" s="19" t="n">
        <f aca="false">'Financial Statements'!C19/'Financial Statements'!C15</f>
        <v>0.226112102381099</v>
      </c>
      <c r="E6" s="25" t="s">
        <v>280</v>
      </c>
    </row>
    <row r="7" customFormat="false" ht="21.75" hidden="false" customHeight="true" outlineLevel="0" collapsed="false">
      <c r="B7" s="4" t="s">
        <v>281</v>
      </c>
      <c r="C7" s="48" t="n">
        <f aca="false">'IKE Tax'!C21/'Debt Schedule'!C11</f>
        <v>1.23600182533087</v>
      </c>
      <c r="E7" s="25" t="s">
        <v>282</v>
      </c>
    </row>
    <row r="8" customFormat="false" ht="21.75" hidden="false" customHeight="true" outlineLevel="0" collapsed="false">
      <c r="B8" s="4" t="s">
        <v>283</v>
      </c>
      <c r="C8" s="19" t="n">
        <f aca="false">('Financial Statements'!C11+'Financial Statements'!C12+'Financial Statements'!C13+'Financial Statements'!C14-'Financial Statements'!C19)/'Financial Statements'!C21</f>
        <v>0.723485450787089</v>
      </c>
      <c r="E8" s="25" t="s">
        <v>284</v>
      </c>
    </row>
    <row r="9" customFormat="false" ht="15" hidden="false" customHeight="true" outlineLevel="0" collapsed="false">
      <c r="B9" s="4" t="s">
        <v>285</v>
      </c>
      <c r="C9" s="19" t="n">
        <f aca="false">('Financial Statements'!C9+'Financial Statements'!C10)/'Financial Statements'!C21</f>
        <v>0.371919224041978</v>
      </c>
      <c r="E9" s="25" t="s">
        <v>286</v>
      </c>
    </row>
    <row r="10" customFormat="false" ht="15" hidden="false" customHeight="true" outlineLevel="0" collapsed="false">
      <c r="B10" s="4" t="s">
        <v>287</v>
      </c>
      <c r="C10" s="19" t="n">
        <f aca="false">0.12</f>
        <v>0.12</v>
      </c>
      <c r="E10" s="25" t="s">
        <v>288</v>
      </c>
    </row>
    <row r="13" customFormat="false" ht="18" hidden="false" customHeight="true" outlineLevel="0" collapsed="false">
      <c r="B13" s="5" t="s">
        <v>289</v>
      </c>
      <c r="C13" s="5"/>
      <c r="D13" s="5"/>
      <c r="E13" s="5"/>
      <c r="F13" s="5"/>
      <c r="G13" s="5"/>
    </row>
    <row r="14" customFormat="false" ht="15" hidden="false" customHeight="true" outlineLevel="0" collapsed="false">
      <c r="B14" s="49" t="s">
        <v>290</v>
      </c>
      <c r="E14" s="50" t="s">
        <v>291</v>
      </c>
    </row>
    <row r="15" customFormat="false" ht="27.75" hidden="false" customHeight="true" outlineLevel="0" collapsed="false">
      <c r="B15" s="51" t="s">
        <v>292</v>
      </c>
      <c r="E15" s="51" t="s">
        <v>293</v>
      </c>
    </row>
    <row r="16" customFormat="false" ht="27.75" hidden="false" customHeight="true" outlineLevel="0" collapsed="false">
      <c r="B16" s="51" t="s">
        <v>294</v>
      </c>
      <c r="E16" s="51" t="s">
        <v>295</v>
      </c>
    </row>
    <row r="17" customFormat="false" ht="27.75" hidden="false" customHeight="true" outlineLevel="0" collapsed="false">
      <c r="B17" s="51" t="s">
        <v>296</v>
      </c>
      <c r="E17" s="51" t="s">
        <v>297</v>
      </c>
    </row>
    <row r="18" customFormat="false" ht="27.75" hidden="false" customHeight="true" outlineLevel="0" collapsed="false">
      <c r="B18" s="51" t="s">
        <v>298</v>
      </c>
      <c r="E18" s="51" t="s">
        <v>299</v>
      </c>
    </row>
    <row r="19" customFormat="false" ht="27.75" hidden="false" customHeight="true" outlineLevel="0" collapsed="false">
      <c r="B19" s="51" t="s">
        <v>300</v>
      </c>
      <c r="E19" s="51" t="s">
        <v>301</v>
      </c>
    </row>
  </sheetData>
  <mergeCells count="2">
    <mergeCell ref="B3:G3"/>
    <mergeCell ref="B13:G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X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2"/>
    <col collapsed="false" customWidth="true" hidden="false" outlineLevel="0" max="22" min="3" style="1" width="10"/>
  </cols>
  <sheetData>
    <row r="3" customFormat="false" ht="21.75" hidden="false" customHeight="true" outlineLevel="0" collapsed="false">
      <c r="B3" s="31" t="s">
        <v>302</v>
      </c>
      <c r="C3" s="31"/>
      <c r="D3" s="31"/>
      <c r="E3" s="31"/>
      <c r="F3" s="31"/>
      <c r="G3" s="31"/>
      <c r="H3" s="31"/>
      <c r="I3" s="31"/>
      <c r="J3" s="31"/>
      <c r="K3" s="31"/>
      <c r="L3" s="31"/>
      <c r="M3" s="31"/>
      <c r="N3" s="31"/>
      <c r="O3" s="31"/>
      <c r="P3" s="31"/>
      <c r="Q3" s="31"/>
      <c r="R3" s="31"/>
      <c r="S3" s="31"/>
      <c r="T3" s="31"/>
      <c r="U3" s="31"/>
      <c r="V3" s="31"/>
    </row>
    <row r="5" customFormat="false" ht="32.25" hidden="false" customHeight="true" outlineLevel="0" collapsed="false">
      <c r="B5" s="4" t="s">
        <v>303</v>
      </c>
      <c r="C5" s="23" t="n">
        <v>0.02</v>
      </c>
      <c r="X5" s="25" t="s">
        <v>304</v>
      </c>
    </row>
    <row r="7" customFormat="false" ht="15" hidden="false" customHeight="true" outlineLevel="0" collapsed="false">
      <c r="B7" s="4" t="s">
        <v>159</v>
      </c>
      <c r="C7" s="20" t="n">
        <v>1</v>
      </c>
      <c r="D7" s="20" t="n">
        <v>2</v>
      </c>
      <c r="E7" s="20" t="n">
        <v>3</v>
      </c>
      <c r="F7" s="20" t="n">
        <v>4</v>
      </c>
      <c r="G7" s="20" t="n">
        <v>5</v>
      </c>
      <c r="H7" s="20" t="n">
        <v>6</v>
      </c>
      <c r="I7" s="20" t="n">
        <v>7</v>
      </c>
      <c r="J7" s="20" t="n">
        <v>8</v>
      </c>
      <c r="K7" s="20" t="n">
        <v>9</v>
      </c>
      <c r="L7" s="20" t="n">
        <v>10</v>
      </c>
      <c r="M7" s="20" t="n">
        <v>11</v>
      </c>
      <c r="N7" s="20" t="n">
        <v>12</v>
      </c>
      <c r="O7" s="20" t="n">
        <v>13</v>
      </c>
      <c r="P7" s="20" t="n">
        <v>14</v>
      </c>
      <c r="Q7" s="20" t="n">
        <v>15</v>
      </c>
      <c r="R7" s="20" t="n">
        <v>16</v>
      </c>
      <c r="S7" s="20" t="n">
        <v>17</v>
      </c>
      <c r="T7" s="20" t="n">
        <v>18</v>
      </c>
      <c r="U7" s="20" t="n">
        <v>19</v>
      </c>
      <c r="V7" s="20" t="n">
        <v>20</v>
      </c>
    </row>
    <row r="8" customFormat="false" ht="15" hidden="false" customHeight="true" outlineLevel="0" collapsed="false">
      <c r="B8" s="4" t="s">
        <v>305</v>
      </c>
      <c r="C8" s="18" t="n">
        <f aca="false">'Financial Statements'!F9*(1+$C$5)^0</f>
        <v>30000</v>
      </c>
      <c r="D8" s="18" t="n">
        <f aca="false">'Financial Statements'!F9*(1+$C$5)^1</f>
        <v>30600</v>
      </c>
      <c r="E8" s="18" t="n">
        <f aca="false">'Financial Statements'!F9*(1+$C$5)^2</f>
        <v>31212</v>
      </c>
      <c r="F8" s="18" t="n">
        <f aca="false">'Financial Statements'!F9*(1+$C$5)^3</f>
        <v>31836.24</v>
      </c>
      <c r="G8" s="18" t="n">
        <f aca="false">'Financial Statements'!F9*(1+$C$5)^4</f>
        <v>32472.9648</v>
      </c>
      <c r="H8" s="18" t="n">
        <f aca="false">'Financial Statements'!F9*(1+$C$5)^5</f>
        <v>33122.424096</v>
      </c>
      <c r="I8" s="18" t="n">
        <f aca="false">'Financial Statements'!F9*(1+$C$5)^6</f>
        <v>33784.87257792</v>
      </c>
      <c r="J8" s="18" t="n">
        <f aca="false">'Financial Statements'!F9*(1+$C$5)^7</f>
        <v>34460.5700294784</v>
      </c>
      <c r="K8" s="18" t="n">
        <f aca="false">'Financial Statements'!F9*(1+$C$5)^8</f>
        <v>35149.781430068</v>
      </c>
      <c r="L8" s="18" t="n">
        <f aca="false">'Financial Statements'!F9*(1+$C$5)^9</f>
        <v>35852.7770586693</v>
      </c>
      <c r="M8" s="18" t="n">
        <f aca="false">'Financial Statements'!F9*(1+$C$5)^10</f>
        <v>36569.8325998427</v>
      </c>
      <c r="N8" s="18" t="n">
        <f aca="false">'Financial Statements'!F9*(1+$C$5)^11</f>
        <v>37301.2292518396</v>
      </c>
      <c r="O8" s="18" t="n">
        <f aca="false">'Financial Statements'!F9*(1+$C$5)^12</f>
        <v>38047.2538368764</v>
      </c>
      <c r="P8" s="18" t="n">
        <f aca="false">'Financial Statements'!F9*(1+$C$5)^13</f>
        <v>38808.1989136139</v>
      </c>
      <c r="Q8" s="18" t="n">
        <f aca="false">'Financial Statements'!F9*(1+$C$5)^14</f>
        <v>39584.3628918862</v>
      </c>
      <c r="R8" s="18" t="n">
        <f aca="false">'Financial Statements'!F9*(1+$C$5)^15</f>
        <v>40376.0501497239</v>
      </c>
      <c r="S8" s="18" t="n">
        <f aca="false">'Financial Statements'!F9*(1+$C$5)^16</f>
        <v>41183.5711527184</v>
      </c>
      <c r="T8" s="18" t="n">
        <f aca="false">'Financial Statements'!F9*(1+$C$5)^17</f>
        <v>42007.2425757728</v>
      </c>
      <c r="U8" s="18" t="n">
        <f aca="false">'Financial Statements'!F9*(1+$C$5)^18</f>
        <v>42847.3874272882</v>
      </c>
      <c r="V8" s="18" t="n">
        <f aca="false">'Financial Statements'!F9*(1+$C$5)^19</f>
        <v>43704.335175834</v>
      </c>
    </row>
    <row r="9" customFormat="false" ht="15" hidden="false" customHeight="true" outlineLevel="0" collapsed="false">
      <c r="B9" s="4" t="s">
        <v>306</v>
      </c>
      <c r="C9" s="18" t="n">
        <f aca="false">'Financial Statements'!F10*(1+$C$5)^0</f>
        <v>7147.7</v>
      </c>
      <c r="D9" s="18" t="n">
        <f aca="false">'Financial Statements'!F10*(1+$C$5)^1</f>
        <v>7290.654</v>
      </c>
      <c r="E9" s="18" t="n">
        <f aca="false">'Financial Statements'!F10*(1+$C$5)^2</f>
        <v>7436.46708</v>
      </c>
      <c r="F9" s="18" t="n">
        <f aca="false">'Financial Statements'!F10*(1+$C$5)^3</f>
        <v>7585.1964216</v>
      </c>
      <c r="G9" s="18" t="n">
        <f aca="false">'Financial Statements'!F10*(1+$C$5)^4</f>
        <v>7736.900350032</v>
      </c>
      <c r="H9" s="18" t="n">
        <f aca="false">'Financial Statements'!F10*(1+$C$5)^5</f>
        <v>7891.63835703264</v>
      </c>
      <c r="I9" s="18" t="n">
        <f aca="false">'Financial Statements'!F10*(1+$C$5)^6</f>
        <v>8049.47112417329</v>
      </c>
      <c r="J9" s="18" t="n">
        <f aca="false">'Financial Statements'!F10*(1+$C$5)^7</f>
        <v>8210.46054665676</v>
      </c>
      <c r="K9" s="18" t="n">
        <f aca="false">'Financial Statements'!F10*(1+$C$5)^8</f>
        <v>8374.6697575899</v>
      </c>
      <c r="L9" s="18" t="n">
        <f aca="false">'Financial Statements'!F10*(1+$C$5)^9</f>
        <v>8542.16315274169</v>
      </c>
      <c r="M9" s="18" t="n">
        <f aca="false">'Financial Statements'!F10*(1+$C$5)^10</f>
        <v>8713.00641579653</v>
      </c>
      <c r="N9" s="18" t="n">
        <f aca="false">'Financial Statements'!F10*(1+$C$5)^11</f>
        <v>8887.26654411246</v>
      </c>
      <c r="O9" s="18" t="n">
        <f aca="false">'Financial Statements'!F10*(1+$C$5)^12</f>
        <v>9065.01187499471</v>
      </c>
      <c r="P9" s="18" t="n">
        <f aca="false">'Financial Statements'!F10*(1+$C$5)^13</f>
        <v>9246.3121124946</v>
      </c>
      <c r="Q9" s="18" t="n">
        <f aca="false">'Financial Statements'!F10*(1+$C$5)^14</f>
        <v>9431.23835474449</v>
      </c>
      <c r="R9" s="18" t="n">
        <f aca="false">'Financial Statements'!F10*(1+$C$5)^15</f>
        <v>9619.86312183938</v>
      </c>
      <c r="S9" s="18" t="n">
        <f aca="false">'Financial Statements'!F10*(1+$C$5)^16</f>
        <v>9812.26038427617</v>
      </c>
      <c r="T9" s="18" t="n">
        <f aca="false">'Financial Statements'!F10*(1+$C$5)^17</f>
        <v>10008.5055919617</v>
      </c>
      <c r="U9" s="18" t="n">
        <f aca="false">'Financial Statements'!F10*(1+$C$5)^18</f>
        <v>10208.6757038009</v>
      </c>
      <c r="V9" s="18" t="n">
        <f aca="false">'Financial Statements'!F10*(1+$C$5)^19</f>
        <v>10412.8492178769</v>
      </c>
    </row>
    <row r="10" customFormat="false" ht="15" hidden="false" customHeight="true" outlineLevel="0" collapsed="false">
      <c r="B10" s="4" t="s">
        <v>307</v>
      </c>
      <c r="C10" s="18" t="n">
        <f aca="false">'IKE Tax'!$C$21*(1+$C$5)^0</f>
        <v>37875.1615</v>
      </c>
      <c r="D10" s="18" t="n">
        <f aca="false">'IKE Tax'!$C$21*(1+$C$5)^1</f>
        <v>38632.66473</v>
      </c>
      <c r="E10" s="18" t="n">
        <f aca="false">'IKE Tax'!$C$21*(1+$C$5)^2</f>
        <v>39405.3180246</v>
      </c>
      <c r="F10" s="18" t="n">
        <f aca="false">'IKE Tax'!$C$21*(1+$C$5)^3</f>
        <v>40193.424385092</v>
      </c>
      <c r="G10" s="18" t="n">
        <f aca="false">'IKE Tax'!$C$21*(1+$C$5)^4</f>
        <v>40997.2928727938</v>
      </c>
      <c r="H10" s="18" t="n">
        <f aca="false">'IKE Tax'!$C$21*(1+$C$5)^5</f>
        <v>41817.2387302497</v>
      </c>
      <c r="I10" s="18" t="n">
        <f aca="false">'IKE Tax'!$C$21*(1+$C$5)^6</f>
        <v>42653.5835048547</v>
      </c>
      <c r="J10" s="18" t="n">
        <f aca="false">'IKE Tax'!$C$21*(1+$C$5)^7</f>
        <v>43506.6551749518</v>
      </c>
      <c r="K10" s="18" t="n">
        <f aca="false">'IKE Tax'!$C$21*(1+$C$5)^8</f>
        <v>44376.7882784509</v>
      </c>
      <c r="L10" s="18" t="n">
        <f aca="false">'IKE Tax'!$C$21*(1+$C$5)^9</f>
        <v>45264.3240440199</v>
      </c>
      <c r="M10" s="18" t="n">
        <f aca="false">'IKE Tax'!$C$21*(1+$C$5)^10</f>
        <v>46169.6105249003</v>
      </c>
      <c r="N10" s="18" t="n">
        <f aca="false">'IKE Tax'!$C$21*(1+$C$5)^11</f>
        <v>47093.0027353983</v>
      </c>
      <c r="O10" s="18" t="n">
        <f aca="false">'IKE Tax'!$C$21*(1+$C$5)^12</f>
        <v>48034.8627901062</v>
      </c>
      <c r="P10" s="18" t="n">
        <f aca="false">'IKE Tax'!$C$21*(1+$C$5)^13</f>
        <v>48995.5600459084</v>
      </c>
      <c r="Q10" s="18" t="n">
        <f aca="false">'IKE Tax'!$C$21*(1+$C$5)^14</f>
        <v>49975.4712468265</v>
      </c>
      <c r="R10" s="18" t="n">
        <f aca="false">'IKE Tax'!$C$21*(1+$C$5)^15</f>
        <v>50974.9806717631</v>
      </c>
      <c r="S10" s="18" t="n">
        <f aca="false">'IKE Tax'!$C$21*(1+$C$5)^16</f>
        <v>51994.4802851983</v>
      </c>
      <c r="T10" s="18" t="n">
        <f aca="false">'IKE Tax'!$C$21*(1+$C$5)^17</f>
        <v>53034.3698909023</v>
      </c>
      <c r="U10" s="18" t="n">
        <f aca="false">'IKE Tax'!$C$21*(1+$C$5)^18</f>
        <v>54095.0572887203</v>
      </c>
      <c r="V10" s="18" t="n">
        <f aca="false">'IKE Tax'!$C$21*(1+$C$5)^19</f>
        <v>55176.9584344947</v>
      </c>
    </row>
    <row r="11" customFormat="false" ht="15" hidden="false" customHeight="true" outlineLevel="0" collapsed="false">
      <c r="B11" s="4" t="s">
        <v>308</v>
      </c>
      <c r="C11" s="18" t="n">
        <f aca="false">-IF(1&lt;='Debt Schedule'!$C$35,'Debt Schedule'!$C$11,0)</f>
        <v>-30643.2892927656</v>
      </c>
      <c r="D11" s="18" t="n">
        <f aca="false">-IF(2&lt;='Debt Schedule'!$C$35,'Debt Schedule'!$C$11,0)</f>
        <v>-30643.2892927656</v>
      </c>
      <c r="E11" s="18" t="n">
        <f aca="false">-IF(3&lt;='Debt Schedule'!$C$35,'Debt Schedule'!$C$11,0)</f>
        <v>-30643.2892927656</v>
      </c>
      <c r="F11" s="18" t="n">
        <f aca="false">-IF(4&lt;='Debt Schedule'!$C$35,'Debt Schedule'!$C$11,0)</f>
        <v>-30643.2892927656</v>
      </c>
      <c r="G11" s="18" t="n">
        <f aca="false">-IF(5&lt;='Debt Schedule'!$C$35,'Debt Schedule'!$C$11,0)</f>
        <v>-30643.2892927656</v>
      </c>
      <c r="H11" s="18" t="n">
        <f aca="false">-IF(6&lt;='Debt Schedule'!$C$35,'Debt Schedule'!$C$11,0)</f>
        <v>-30643.2892927656</v>
      </c>
      <c r="I11" s="18" t="n">
        <f aca="false">-IF(7&lt;='Debt Schedule'!$C$35,'Debt Schedule'!$C$11,0)</f>
        <v>-30643.2892927656</v>
      </c>
      <c r="J11" s="18" t="n">
        <f aca="false">-IF(8&lt;='Debt Schedule'!$C$35,'Debt Schedule'!$C$11,0)</f>
        <v>-30643.2892927656</v>
      </c>
      <c r="K11" s="18" t="n">
        <f aca="false">-IF(9&lt;='Debt Schedule'!$C$35,'Debt Schedule'!$C$11,0)</f>
        <v>-30643.2892927656</v>
      </c>
      <c r="L11" s="18" t="n">
        <f aca="false">-IF(10&lt;='Debt Schedule'!$C$35,'Debt Schedule'!$C$11,0)</f>
        <v>-30643.2892927656</v>
      </c>
      <c r="M11" s="18" t="n">
        <f aca="false">-IF(11&lt;='Debt Schedule'!$C$35,'Debt Schedule'!$C$11,0)</f>
        <v>-30643.2892927656</v>
      </c>
      <c r="N11" s="18" t="n">
        <f aca="false">-IF(12&lt;='Debt Schedule'!$C$35,'Debt Schedule'!$C$11,0)</f>
        <v>-30643.2892927656</v>
      </c>
      <c r="O11" s="18" t="n">
        <f aca="false">-IF(13&lt;='Debt Schedule'!$C$35,'Debt Schedule'!$C$11,0)</f>
        <v>-30643.2892927656</v>
      </c>
      <c r="P11" s="18" t="n">
        <f aca="false">-IF(14&lt;='Debt Schedule'!$C$35,'Debt Schedule'!$C$11,0)</f>
        <v>-30643.2892927656</v>
      </c>
      <c r="Q11" s="18" t="n">
        <f aca="false">-IF(15&lt;='Debt Schedule'!$C$35,'Debt Schedule'!$C$11,0)</f>
        <v>-30643.2892927656</v>
      </c>
      <c r="R11" s="18" t="n">
        <f aca="false">-IF(16&lt;='Debt Schedule'!$C$35,'Debt Schedule'!$C$11,0)</f>
        <v>-30643.2892927656</v>
      </c>
      <c r="S11" s="18" t="n">
        <f aca="false">-IF(17&lt;='Debt Schedule'!$C$35,'Debt Schedule'!$C$11,0)</f>
        <v>-30643.2892927656</v>
      </c>
      <c r="T11" s="18" t="n">
        <f aca="false">-IF(18&lt;='Debt Schedule'!$C$35,'Debt Schedule'!$C$11,0)</f>
        <v>-30643.2892927656</v>
      </c>
      <c r="U11" s="18" t="n">
        <f aca="false">-IF(19&lt;='Debt Schedule'!$C$35,'Debt Schedule'!$C$11,0)</f>
        <v>-0</v>
      </c>
      <c r="V11" s="18" t="n">
        <f aca="false">-IF(20&lt;='Debt Schedule'!$C$35,'Debt Schedule'!$C$11,0)</f>
        <v>-0</v>
      </c>
    </row>
    <row r="12" customFormat="false" ht="15" hidden="false" customHeight="true" outlineLevel="0" collapsed="false">
      <c r="B12" s="4" t="s">
        <v>309</v>
      </c>
      <c r="C12" s="18" t="n">
        <f aca="false">MAX(0,C10+C11)*0.95</f>
        <v>6870.27859687273</v>
      </c>
      <c r="D12" s="18" t="n">
        <f aca="false">MAX(0,D10+D11)*0.95</f>
        <v>7589.90666537273</v>
      </c>
      <c r="E12" s="18" t="n">
        <f aca="false">MAX(0,E10+E11)*0.95</f>
        <v>8323.92729524273</v>
      </c>
      <c r="F12" s="18" t="n">
        <f aca="false">MAX(0,F10+F11)*0.95</f>
        <v>9072.62833771014</v>
      </c>
      <c r="G12" s="18" t="n">
        <f aca="false">MAX(0,G10+G11)*0.95</f>
        <v>9836.30340102688</v>
      </c>
      <c r="H12" s="18" t="n">
        <f aca="false">MAX(0,H10+H11)*0.95</f>
        <v>10615.25196561</v>
      </c>
      <c r="I12" s="18" t="n">
        <f aca="false">MAX(0,I10+I11)*0.95</f>
        <v>11409.7795014847</v>
      </c>
      <c r="J12" s="18" t="n">
        <f aca="false">MAX(0,J10+J11)*0.95</f>
        <v>12220.197588077</v>
      </c>
      <c r="K12" s="18" t="n">
        <f aca="false">MAX(0,K10+K11)*0.95</f>
        <v>13046.824036401</v>
      </c>
      <c r="L12" s="18" t="n">
        <f aca="false">MAX(0,L10+L11)*0.95</f>
        <v>13889.9830136916</v>
      </c>
      <c r="M12" s="18" t="n">
        <f aca="false">MAX(0,M10+M11)*0.95</f>
        <v>14750.005170528</v>
      </c>
      <c r="N12" s="18" t="n">
        <f aca="false">MAX(0,N10+N11)*0.95</f>
        <v>15627.2277705011</v>
      </c>
      <c r="O12" s="18" t="n">
        <f aca="false">MAX(0,O10+O11)*0.95</f>
        <v>16521.9948224737</v>
      </c>
      <c r="P12" s="18" t="n">
        <f aca="false">MAX(0,P10+P11)*0.95</f>
        <v>17434.6572154857</v>
      </c>
      <c r="Q12" s="18" t="n">
        <f aca="false">MAX(0,Q10+Q11)*0.95</f>
        <v>18365.5728563579</v>
      </c>
      <c r="R12" s="18" t="n">
        <f aca="false">MAX(0,R10+R11)*0.95</f>
        <v>19315.1068100476</v>
      </c>
      <c r="S12" s="18" t="n">
        <f aca="false">MAX(0,S10+S11)*0.95</f>
        <v>20283.6314428111</v>
      </c>
      <c r="T12" s="18" t="n">
        <f aca="false">MAX(0,T10+T11)*0.95</f>
        <v>21271.5265682299</v>
      </c>
      <c r="U12" s="18" t="n">
        <f aca="false">MAX(0,U10+U11)*0.95</f>
        <v>51390.3044242843</v>
      </c>
      <c r="V12" s="18" t="n">
        <f aca="false">MAX(0,V10+V11)*0.95</f>
        <v>52418.11051277</v>
      </c>
    </row>
    <row r="13" customFormat="false" ht="15" hidden="false" customHeight="true" outlineLevel="0" collapsed="false">
      <c r="B13" s="4" t="s">
        <v>310</v>
      </c>
      <c r="C13" s="18" t="n">
        <f aca="false">Portfolio!$H$11*(1+Portfolio!$D$16-0.014)^0</f>
        <v>5989.2</v>
      </c>
      <c r="D13" s="18" t="n">
        <f aca="false">Portfolio!$H$11*(1+Portfolio!$D$16-0.014)^1</f>
        <v>6278.1789</v>
      </c>
      <c r="E13" s="18" t="n">
        <f aca="false">Portfolio!$H$11*(1+Portfolio!$D$16-0.014)^2</f>
        <v>6581.101031925</v>
      </c>
      <c r="F13" s="18" t="n">
        <f aca="false">Portfolio!$H$11*(1+Portfolio!$D$16-0.014)^3</f>
        <v>6898.63915671538</v>
      </c>
      <c r="G13" s="18" t="n">
        <f aca="false">Portfolio!$H$11*(1+Portfolio!$D$16-0.014)^4</f>
        <v>7231.4984960269</v>
      </c>
      <c r="H13" s="18" t="n">
        <f aca="false">Portfolio!$H$11*(1+Portfolio!$D$16-0.014)^5</f>
        <v>7580.41829846019</v>
      </c>
      <c r="I13" s="18" t="n">
        <f aca="false">Portfolio!$H$11*(1+Portfolio!$D$16-0.014)^6</f>
        <v>7946.1734813609</v>
      </c>
      <c r="J13" s="18" t="n">
        <f aca="false">Portfolio!$H$11*(1+Portfolio!$D$16-0.014)^7</f>
        <v>8329.57635183656</v>
      </c>
      <c r="K13" s="18" t="n">
        <f aca="false">Portfolio!$H$11*(1+Portfolio!$D$16-0.014)^8</f>
        <v>8731.47841081267</v>
      </c>
      <c r="L13" s="18" t="n">
        <f aca="false">Portfolio!$H$11*(1+Portfolio!$D$16-0.014)^9</f>
        <v>9152.77224413438</v>
      </c>
      <c r="M13" s="18" t="n">
        <f aca="false">Portfolio!$H$11*(1+Portfolio!$D$16-0.014)^10</f>
        <v>9594.39350491387</v>
      </c>
      <c r="N13" s="18" t="n">
        <f aca="false">Portfolio!$H$11*(1+Portfolio!$D$16-0.014)^11</f>
        <v>10057.322991526</v>
      </c>
      <c r="O13" s="18" t="n">
        <f aca="false">Portfolio!$H$11*(1+Portfolio!$D$16-0.014)^12</f>
        <v>10542.5888258671</v>
      </c>
      <c r="P13" s="18" t="n">
        <f aca="false">Portfolio!$H$11*(1+Portfolio!$D$16-0.014)^13</f>
        <v>11051.2687367152</v>
      </c>
      <c r="Q13" s="18" t="n">
        <f aca="false">Portfolio!$H$11*(1+Portfolio!$D$16-0.014)^14</f>
        <v>11584.4924532617</v>
      </c>
      <c r="R13" s="18" t="n">
        <f aca="false">Portfolio!$H$11*(1+Portfolio!$D$16-0.014)^15</f>
        <v>12143.4442141316</v>
      </c>
      <c r="S13" s="18" t="n">
        <f aca="false">Portfolio!$H$11*(1+Portfolio!$D$16-0.014)^16</f>
        <v>12729.3653974634</v>
      </c>
      <c r="T13" s="18" t="n">
        <f aca="false">Portfolio!$H$11*(1+Portfolio!$D$16-0.014)^17</f>
        <v>13343.557277891</v>
      </c>
      <c r="U13" s="18" t="n">
        <f aca="false">Portfolio!$H$11*(1+Portfolio!$D$16-0.014)^18</f>
        <v>13987.3839165492</v>
      </c>
      <c r="V13" s="18" t="n">
        <f aca="false">Portfolio!$H$11*(1+Portfolio!$D$16-0.014)^19</f>
        <v>14662.2751905227</v>
      </c>
    </row>
    <row r="14" customFormat="false" ht="15" hidden="false" customHeight="true" outlineLevel="0" collapsed="false">
      <c r="B14" s="3" t="s">
        <v>250</v>
      </c>
      <c r="C14" s="21" t="n">
        <f aca="false">SUM(C8:C9)+C12+C13</f>
        <v>50007.1785968727</v>
      </c>
      <c r="D14" s="21" t="n">
        <f aca="false">SUM(D8:D9)+D12+D13</f>
        <v>51758.7395653727</v>
      </c>
      <c r="E14" s="21" t="n">
        <f aca="false">SUM(E8:E9)+E12+E13</f>
        <v>53553.4954071677</v>
      </c>
      <c r="F14" s="21" t="n">
        <f aca="false">SUM(F8:F9)+F12+F13</f>
        <v>55392.7039160255</v>
      </c>
      <c r="G14" s="21" t="n">
        <f aca="false">SUM(G8:G9)+G12+G13</f>
        <v>57277.6670470858</v>
      </c>
      <c r="H14" s="21" t="n">
        <f aca="false">SUM(H8:H9)+H12+H13</f>
        <v>59209.7327171028</v>
      </c>
      <c r="I14" s="21" t="n">
        <f aca="false">SUM(I8:I9)+I12+I13</f>
        <v>61190.2966849389</v>
      </c>
      <c r="J14" s="21" t="n">
        <f aca="false">SUM(J8:J9)+J12+J13</f>
        <v>63220.8045160487</v>
      </c>
      <c r="K14" s="21" t="n">
        <f aca="false">SUM(K8:K9)+K12+K13</f>
        <v>65302.7536348716</v>
      </c>
      <c r="L14" s="21" t="n">
        <f aca="false">SUM(L8:L9)+L12+L13</f>
        <v>67437.695469237</v>
      </c>
      <c r="M14" s="21" t="n">
        <f aca="false">SUM(M8:M9)+M12+M13</f>
        <v>69627.2376910811</v>
      </c>
      <c r="N14" s="21" t="n">
        <f aca="false">SUM(N8:N9)+N12+N13</f>
        <v>71873.0465579791</v>
      </c>
      <c r="O14" s="21" t="n">
        <f aca="false">SUM(O8:O9)+O12+O13</f>
        <v>74176.8493602118</v>
      </c>
      <c r="P14" s="21" t="n">
        <f aca="false">SUM(P8:P9)+P12+P13</f>
        <v>76540.4369783093</v>
      </c>
      <c r="Q14" s="21" t="n">
        <f aca="false">SUM(Q8:Q9)+Q12+Q13</f>
        <v>78965.6665562503</v>
      </c>
      <c r="R14" s="21" t="n">
        <f aca="false">SUM(R8:R9)+R12+R13</f>
        <v>81454.4642957425</v>
      </c>
      <c r="S14" s="21" t="n">
        <f aca="false">SUM(S8:S9)+S12+S13</f>
        <v>84008.8283772691</v>
      </c>
      <c r="T14" s="21" t="n">
        <f aca="false">SUM(T8:T9)+T12+T13</f>
        <v>86630.8320138553</v>
      </c>
      <c r="U14" s="21" t="n">
        <f aca="false">SUM(U8:U9)+U12+U13</f>
        <v>118433.751471923</v>
      </c>
      <c r="V14" s="21" t="n">
        <f aca="false">SUM(V8:V9)+V12+V13</f>
        <v>121197.570097004</v>
      </c>
    </row>
    <row r="15" customFormat="false" ht="15" hidden="false" customHeight="true" outlineLevel="0" collapsed="false">
      <c r="B15" s="4" t="s">
        <v>311</v>
      </c>
      <c r="C15" s="39" t="n">
        <f aca="false">'Client Profile'!$D$9*12*(1+$C$5)^0</f>
        <v>12000</v>
      </c>
      <c r="D15" s="39" t="n">
        <f aca="false">'Client Profile'!$D$9*12*(1+$C$5)^1</f>
        <v>12240</v>
      </c>
      <c r="E15" s="39" t="n">
        <f aca="false">'Client Profile'!$D$9*12*(1+$C$5)^2</f>
        <v>12484.8</v>
      </c>
      <c r="F15" s="39" t="n">
        <f aca="false">'Client Profile'!$D$9*12*(1+$C$5)^3</f>
        <v>12734.496</v>
      </c>
      <c r="G15" s="39" t="n">
        <f aca="false">'Client Profile'!$D$9*12*(1+$C$5)^4</f>
        <v>12989.18592</v>
      </c>
      <c r="H15" s="39" t="n">
        <f aca="false">'Client Profile'!$D$9*12*(1+$C$5)^5</f>
        <v>13248.9696384</v>
      </c>
      <c r="I15" s="39" t="n">
        <f aca="false">'Client Profile'!$D$9*12*(1+$C$5)^6</f>
        <v>13513.949031168</v>
      </c>
      <c r="J15" s="39" t="n">
        <f aca="false">'Client Profile'!$D$9*12*(1+$C$5)^7</f>
        <v>13784.2280117914</v>
      </c>
      <c r="K15" s="39" t="n">
        <f aca="false">'Client Profile'!$D$9*12*(1+$C$5)^8</f>
        <v>14059.9125720272</v>
      </c>
      <c r="L15" s="39" t="n">
        <f aca="false">'Client Profile'!$D$9*12*(1+$C$5)^9</f>
        <v>14341.1108234677</v>
      </c>
      <c r="M15" s="39" t="n">
        <f aca="false">'Client Profile'!$D$9*12*(1+$C$5)^10</f>
        <v>14627.9330399371</v>
      </c>
      <c r="N15" s="39" t="n">
        <f aca="false">'Client Profile'!$D$9*12*(1+$C$5)^11</f>
        <v>14920.4917007358</v>
      </c>
      <c r="O15" s="39" t="n">
        <f aca="false">'Client Profile'!$D$9*12*(1+$C$5)^12</f>
        <v>15218.9015347505</v>
      </c>
      <c r="P15" s="39" t="n">
        <f aca="false">'Client Profile'!$D$9*12*(1+$C$5)^13</f>
        <v>15523.2795654456</v>
      </c>
      <c r="Q15" s="39" t="n">
        <f aca="false">'Client Profile'!$D$9*12*(1+$C$5)^14</f>
        <v>15833.7451567545</v>
      </c>
      <c r="R15" s="39" t="n">
        <f aca="false">'Client Profile'!$D$9*12*(1+$C$5)^15</f>
        <v>16150.4200598896</v>
      </c>
      <c r="S15" s="39" t="n">
        <f aca="false">'Client Profile'!$D$9*12*(1+$C$5)^16</f>
        <v>16473.4284610874</v>
      </c>
      <c r="T15" s="39" t="n">
        <f aca="false">'Client Profile'!$D$9*12*(1+$C$5)^17</f>
        <v>16802.8970303091</v>
      </c>
      <c r="U15" s="39" t="n">
        <f aca="false">'Client Profile'!$D$9*12*(1+$C$5)^18</f>
        <v>17138.9549709153</v>
      </c>
      <c r="V15" s="39" t="n">
        <f aca="false">'Client Profile'!$D$9*12*(1+$C$5)^19</f>
        <v>17481.7340703336</v>
      </c>
    </row>
    <row r="16" customFormat="false" ht="15" hidden="false" customHeight="true" outlineLevel="0" collapsed="false">
      <c r="B16" s="3" t="s">
        <v>257</v>
      </c>
      <c r="C16" s="52" t="n">
        <f aca="false">(C14+C15)/12</f>
        <v>5167.26488307273</v>
      </c>
      <c r="D16" s="52" t="n">
        <f aca="false">(D14+D15)/12</f>
        <v>5333.2282971144</v>
      </c>
      <c r="E16" s="52" t="n">
        <f aca="false">(E14+E15)/12</f>
        <v>5503.19128393065</v>
      </c>
      <c r="F16" s="52" t="n">
        <f aca="false">(F14+F15)/12</f>
        <v>5677.26665966879</v>
      </c>
      <c r="G16" s="52" t="n">
        <f aca="false">(G14+G15)/12</f>
        <v>5855.57108059048</v>
      </c>
      <c r="H16" s="52" t="n">
        <f aca="false">(H14+H15)/12</f>
        <v>6038.2251962919</v>
      </c>
      <c r="I16" s="52" t="n">
        <f aca="false">(I14+I15)/12</f>
        <v>6225.35380967558</v>
      </c>
      <c r="J16" s="52" t="n">
        <f aca="false">(J14+J15)/12</f>
        <v>6417.08604398667</v>
      </c>
      <c r="K16" s="52" t="n">
        <f aca="false">(K14+K15)/12</f>
        <v>6613.55551724156</v>
      </c>
      <c r="L16" s="52" t="n">
        <f aca="false">(L14+L15)/12</f>
        <v>6814.90052439206</v>
      </c>
      <c r="M16" s="52" t="n">
        <f aca="false">(M14+M15)/12</f>
        <v>7021.26422758485</v>
      </c>
      <c r="N16" s="52" t="n">
        <f aca="false">(N14+N15)/12</f>
        <v>7232.79485489291</v>
      </c>
      <c r="O16" s="52" t="n">
        <f aca="false">(O14+O15)/12</f>
        <v>7449.64590791353</v>
      </c>
      <c r="P16" s="52" t="n">
        <f aca="false">(P14+P15)/12</f>
        <v>7671.97637864624</v>
      </c>
      <c r="Q16" s="52" t="n">
        <f aca="false">(Q14+Q15)/12</f>
        <v>7899.95097608373</v>
      </c>
      <c r="R16" s="52" t="n">
        <f aca="false">(R14+R15)/12</f>
        <v>8133.74036296934</v>
      </c>
      <c r="S16" s="52" t="n">
        <f aca="false">(S14+S15)/12</f>
        <v>8373.52140319637</v>
      </c>
      <c r="T16" s="52" t="n">
        <f aca="false">(T14+T15)/12</f>
        <v>8619.47742034704</v>
      </c>
      <c r="U16" s="52" t="n">
        <f aca="false">(U14+U15)/12</f>
        <v>11297.7255369032</v>
      </c>
      <c r="V16" s="52" t="n">
        <f aca="false">(V14+V15)/12</f>
        <v>11556.6086806114</v>
      </c>
    </row>
    <row r="17" customFormat="false" ht="15" hidden="false" customHeight="true" outlineLevel="0" collapsed="false">
      <c r="B17" s="3" t="s">
        <v>312</v>
      </c>
      <c r="C17" s="40" t="n">
        <f aca="false">C16-4000</f>
        <v>1167.26488307273</v>
      </c>
      <c r="D17" s="40" t="n">
        <f aca="false">D16-4000</f>
        <v>1333.2282971144</v>
      </c>
      <c r="E17" s="40" t="n">
        <f aca="false">E16-4000</f>
        <v>1503.19128393065</v>
      </c>
      <c r="F17" s="40" t="n">
        <f aca="false">F16-4000</f>
        <v>1677.26665966879</v>
      </c>
      <c r="G17" s="40" t="n">
        <f aca="false">G16-4000</f>
        <v>1855.57108059048</v>
      </c>
      <c r="H17" s="40" t="n">
        <f aca="false">H16-4000</f>
        <v>2038.2251962919</v>
      </c>
      <c r="I17" s="40" t="n">
        <f aca="false">I16-4000</f>
        <v>2225.35380967558</v>
      </c>
      <c r="J17" s="40" t="n">
        <f aca="false">J16-4000</f>
        <v>2417.08604398667</v>
      </c>
      <c r="K17" s="40" t="n">
        <f aca="false">K16-4000</f>
        <v>2613.55551724156</v>
      </c>
      <c r="L17" s="40" t="n">
        <f aca="false">L16-4000</f>
        <v>2814.90052439206</v>
      </c>
      <c r="M17" s="40" t="n">
        <f aca="false">M16-4000</f>
        <v>3021.26422758485</v>
      </c>
      <c r="N17" s="40" t="n">
        <f aca="false">N16-4000</f>
        <v>3232.79485489291</v>
      </c>
      <c r="O17" s="40" t="n">
        <f aca="false">O16-4000</f>
        <v>3449.64590791353</v>
      </c>
      <c r="P17" s="40" t="n">
        <f aca="false">P16-4000</f>
        <v>3671.97637864624</v>
      </c>
      <c r="Q17" s="40" t="n">
        <f aca="false">Q16-4000</f>
        <v>3899.95097608373</v>
      </c>
      <c r="R17" s="40" t="n">
        <f aca="false">R16-4000</f>
        <v>4133.74036296934</v>
      </c>
      <c r="S17" s="40" t="n">
        <f aca="false">S16-4000</f>
        <v>4373.52140319637</v>
      </c>
      <c r="T17" s="40" t="n">
        <f aca="false">T16-4000</f>
        <v>4619.47742034704</v>
      </c>
      <c r="U17" s="40" t="n">
        <f aca="false">U16-4000</f>
        <v>7297.72553690316</v>
      </c>
      <c r="V17" s="40" t="n">
        <f aca="false">V16-4000</f>
        <v>7556.60868061144</v>
      </c>
    </row>
    <row r="18" customFormat="false" ht="15" hidden="false" customHeight="true" outlineLevel="0" collapsed="false">
      <c r="B18" s="4" t="s">
        <v>313</v>
      </c>
      <c r="C18" s="53" t="n">
        <f aca="false">C14/12</f>
        <v>4167.26488307273</v>
      </c>
      <c r="D18" s="53" t="n">
        <f aca="false">D14/12</f>
        <v>4313.2282971144</v>
      </c>
      <c r="E18" s="53" t="n">
        <f aca="false">E14/12</f>
        <v>4462.79128393065</v>
      </c>
      <c r="F18" s="53" t="n">
        <f aca="false">F14/12</f>
        <v>4616.05865966879</v>
      </c>
      <c r="G18" s="53" t="n">
        <f aca="false">G14/12</f>
        <v>4773.13892059048</v>
      </c>
      <c r="H18" s="53" t="n">
        <f aca="false">H14/12</f>
        <v>4934.1443930919</v>
      </c>
      <c r="I18" s="53" t="n">
        <f aca="false">I14/12</f>
        <v>5099.19139041158</v>
      </c>
      <c r="J18" s="53" t="n">
        <f aca="false">J14/12</f>
        <v>5268.40037633739</v>
      </c>
      <c r="K18" s="53" t="n">
        <f aca="false">K14/12</f>
        <v>5441.8961362393</v>
      </c>
      <c r="L18" s="53" t="n">
        <f aca="false">L14/12</f>
        <v>5619.80795576975</v>
      </c>
      <c r="M18" s="53" t="n">
        <f aca="false">M14/12</f>
        <v>5802.26980759009</v>
      </c>
      <c r="N18" s="53" t="n">
        <f aca="false">N14/12</f>
        <v>5989.42054649826</v>
      </c>
      <c r="O18" s="53" t="n">
        <f aca="false">O14/12</f>
        <v>6181.40411335098</v>
      </c>
      <c r="P18" s="53" t="n">
        <f aca="false">P14/12</f>
        <v>6378.36974819245</v>
      </c>
      <c r="Q18" s="53" t="n">
        <f aca="false">Q14/12</f>
        <v>6580.47221302086</v>
      </c>
      <c r="R18" s="53" t="n">
        <f aca="false">R14/12</f>
        <v>6787.87202464521</v>
      </c>
      <c r="S18" s="53" t="n">
        <f aca="false">S14/12</f>
        <v>7000.73569810576</v>
      </c>
      <c r="T18" s="53" t="n">
        <f aca="false">T14/12</f>
        <v>7219.23600115461</v>
      </c>
      <c r="U18" s="53" t="n">
        <f aca="false">U14/12</f>
        <v>9869.47928932689</v>
      </c>
      <c r="V18" s="53" t="n">
        <f aca="false">V14/12</f>
        <v>10099.7975080836</v>
      </c>
    </row>
    <row r="19" customFormat="false" ht="15" hidden="false" customHeight="true" outlineLevel="0" collapsed="false">
      <c r="B19" s="4" t="s">
        <v>314</v>
      </c>
      <c r="C19" s="18" t="n">
        <f aca="false">Portfolio!$D$11*(1+Portfolio!$D$16-0.014)^1</f>
        <v>448441.35</v>
      </c>
      <c r="D19" s="18" t="n">
        <f aca="false">Portfolio!$D$11*(1+Portfolio!$D$16-0.014)^2</f>
        <v>470078.6451375</v>
      </c>
      <c r="E19" s="18" t="n">
        <f aca="false">Portfolio!$D$11*(1+Portfolio!$D$16-0.014)^3</f>
        <v>492759.939765384</v>
      </c>
      <c r="F19" s="18" t="n">
        <f aca="false">Portfolio!$D$11*(1+Portfolio!$D$16-0.014)^4</f>
        <v>516535.606859064</v>
      </c>
      <c r="G19" s="18" t="n">
        <f aca="false">Portfolio!$D$11*(1+Portfolio!$D$16-0.014)^5</f>
        <v>541458.449890014</v>
      </c>
      <c r="H19" s="18" t="n">
        <f aca="false">Portfolio!$D$11*(1+Portfolio!$D$16-0.014)^6</f>
        <v>567583.820097207</v>
      </c>
      <c r="I19" s="18" t="n">
        <f aca="false">Portfolio!$D$11*(1+Portfolio!$D$16-0.014)^7</f>
        <v>594969.739416897</v>
      </c>
      <c r="J19" s="18" t="n">
        <f aca="false">Portfolio!$D$11*(1+Portfolio!$D$16-0.014)^8</f>
        <v>623677.029343762</v>
      </c>
      <c r="K19" s="18" t="n">
        <f aca="false">Portfolio!$D$11*(1+Portfolio!$D$16-0.014)^9</f>
        <v>653769.446009599</v>
      </c>
      <c r="L19" s="18" t="n">
        <f aca="false">Portfolio!$D$11*(1+Portfolio!$D$16-0.014)^10</f>
        <v>685313.821779562</v>
      </c>
      <c r="M19" s="18" t="n">
        <f aca="false">Portfolio!$D$11*(1+Portfolio!$D$16-0.014)^11</f>
        <v>718380.213680426</v>
      </c>
      <c r="N19" s="18" t="n">
        <f aca="false">Portfolio!$D$11*(1+Portfolio!$D$16-0.014)^12</f>
        <v>753042.058990506</v>
      </c>
      <c r="O19" s="18" t="n">
        <f aca="false">Portfolio!$D$11*(1+Portfolio!$D$16-0.014)^13</f>
        <v>789376.338336798</v>
      </c>
      <c r="P19" s="18" t="n">
        <f aca="false">Portfolio!$D$11*(1+Portfolio!$D$16-0.014)^14</f>
        <v>827463.746661548</v>
      </c>
      <c r="Q19" s="18" t="n">
        <f aca="false">Portfolio!$D$11*(1+Portfolio!$D$16-0.014)^15</f>
        <v>867388.872437968</v>
      </c>
      <c r="R19" s="18" t="n">
        <f aca="false">Portfolio!$D$11*(1+Portfolio!$D$16-0.014)^16</f>
        <v>909240.3855331</v>
      </c>
      <c r="S19" s="18" t="n">
        <f aca="false">Portfolio!$D$11*(1+Portfolio!$D$16-0.014)^17</f>
        <v>953111.234135072</v>
      </c>
      <c r="T19" s="18" t="n">
        <f aca="false">Portfolio!$D$11*(1+Portfolio!$D$16-0.014)^18</f>
        <v>999098.851182089</v>
      </c>
      <c r="U19" s="18" t="n">
        <f aca="false">Portfolio!$D$11*(1+Portfolio!$D$16-0.014)^19</f>
        <v>1047305.37075162</v>
      </c>
      <c r="V19" s="18" t="n">
        <f aca="false">Portfolio!$D$11*(1+Portfolio!$D$16-0.014)^20</f>
        <v>1097837.85489039</v>
      </c>
    </row>
    <row r="20" customFormat="false" ht="15" hidden="false" customHeight="true" outlineLevel="0" collapsed="false">
      <c r="B20" s="4" t="s">
        <v>315</v>
      </c>
      <c r="C20" s="18" t="n">
        <f aca="false">'Debt Schedule'!F15</f>
        <v>352475.460707234</v>
      </c>
      <c r="D20" s="18" t="n">
        <f aca="false">'Debt Schedule'!F16</f>
        <v>336812.378494526</v>
      </c>
      <c r="E20" s="18" t="n">
        <f aca="false">'Debt Schedule'!F17</f>
        <v>320483.615287778</v>
      </c>
      <c r="F20" s="18" t="n">
        <f aca="false">'Debt Schedule'!F18</f>
        <v>303460.879644743</v>
      </c>
      <c r="G20" s="18" t="n">
        <f aca="false">'Debt Schedule'!F19</f>
        <v>285714.677736879</v>
      </c>
      <c r="H20" s="18" t="n">
        <f aca="false">'Debt Schedule'!F20</f>
        <v>267214.262247931</v>
      </c>
      <c r="I20" s="18" t="n">
        <f aca="false">'Debt Schedule'!F21</f>
        <v>247927.579100703</v>
      </c>
      <c r="J20" s="18" t="n">
        <f aca="false">'Debt Schedule'!F22</f>
        <v>227821.211919717</v>
      </c>
      <c r="K20" s="18" t="n">
        <f aca="false">'Debt Schedule'!F23</f>
        <v>206860.324133539</v>
      </c>
      <c r="L20" s="18" t="n">
        <f aca="false">'Debt Schedule'!F24</f>
        <v>185008.598616449</v>
      </c>
      <c r="M20" s="18" t="n">
        <f aca="false">'Debt Schedule'!F25</f>
        <v>162228.174764883</v>
      </c>
      <c r="N20" s="18" t="n">
        <f aca="false">'Debt Schedule'!F26</f>
        <v>138479.582899625</v>
      </c>
      <c r="O20" s="18" t="n">
        <f aca="false">'Debt Schedule'!F27</f>
        <v>113721.675880093</v>
      </c>
      <c r="P20" s="18" t="n">
        <f aca="false">'Debt Schedule'!F28</f>
        <v>87911.5578122317</v>
      </c>
      <c r="Q20" s="18" t="n">
        <f aca="false">'Debt Schedule'!F29</f>
        <v>61004.509726486</v>
      </c>
      <c r="R20" s="18" t="n">
        <f aca="false">'Debt Schedule'!F30</f>
        <v>32953.9120970961</v>
      </c>
      <c r="S20" s="18" t="n">
        <f aca="false">'Debt Schedule'!F31</f>
        <v>3711.16406845712</v>
      </c>
      <c r="T20" s="18" t="n">
        <f aca="false">'Debt Schedule'!F32</f>
        <v>0</v>
      </c>
      <c r="U20" s="18" t="n">
        <f aca="false">'Debt Schedule'!F33</f>
        <v>0</v>
      </c>
      <c r="V20" s="18" t="n">
        <f aca="false">'Debt Schedule'!F34</f>
        <v>0</v>
      </c>
    </row>
    <row r="22" customFormat="false" ht="42.75" hidden="false" customHeight="true" outlineLevel="0" collapsed="false">
      <c r="B22" s="4" t="s">
        <v>316</v>
      </c>
      <c r="C22" s="54" t="n">
        <f aca="false">'Financial Statements'!$F$26*(1+$C$5)^0</f>
        <v>7200</v>
      </c>
      <c r="D22" s="39" t="n">
        <f aca="false">'Financial Statements'!$F$26*(1+$C$5)^1</f>
        <v>7344</v>
      </c>
      <c r="E22" s="39" t="n">
        <f aca="false">'Financial Statements'!$F$26*(1+$C$5)^2</f>
        <v>7490.88</v>
      </c>
      <c r="F22" s="39" t="n">
        <f aca="false">'Financial Statements'!$F$26*(1+$C$5)^3</f>
        <v>7640.6976</v>
      </c>
      <c r="G22" s="39" t="n">
        <f aca="false">'Financial Statements'!$F$26*(1+$C$5)^4</f>
        <v>7793.511552</v>
      </c>
      <c r="H22" s="39" t="n">
        <f aca="false">'Financial Statements'!$F$26*(1+$C$5)^5</f>
        <v>7949.38178304</v>
      </c>
      <c r="I22" s="39" t="n">
        <f aca="false">'Financial Statements'!$F$26*(1+$C$5)^6</f>
        <v>8108.3694187008</v>
      </c>
      <c r="J22" s="39" t="n">
        <f aca="false">'Financial Statements'!$F$26*(1+$C$5)^7</f>
        <v>8270.53680707482</v>
      </c>
      <c r="K22" s="39" t="n">
        <f aca="false">'Financial Statements'!$F$26*(1+$C$5)^8</f>
        <v>8435.94754321631</v>
      </c>
      <c r="L22" s="39" t="n">
        <f aca="false">'Financial Statements'!$F$26*(1+$C$5)^9</f>
        <v>8604.66649408064</v>
      </c>
      <c r="M22" s="39" t="n">
        <f aca="false">'Financial Statements'!$F$26*(1+$C$5)^10</f>
        <v>8776.75982396225</v>
      </c>
      <c r="N22" s="39" t="n">
        <f aca="false">'Financial Statements'!$F$26*(1+$C$5)^11</f>
        <v>8952.2950204415</v>
      </c>
      <c r="O22" s="39" t="n">
        <f aca="false">'Financial Statements'!$F$26*(1+$C$5)^12</f>
        <v>9131.34092085033</v>
      </c>
      <c r="P22" s="39" t="n">
        <f aca="false">'Financial Statements'!$F$26*(1+$C$5)^13</f>
        <v>9313.96773926734</v>
      </c>
      <c r="Q22" s="39" t="n">
        <f aca="false">'Financial Statements'!$F$26*(1+$C$5)^14</f>
        <v>9500.24709405268</v>
      </c>
      <c r="R22" s="39" t="n">
        <f aca="false">'Financial Statements'!$F$26*(1+$C$5)^15</f>
        <v>9690.25203593374</v>
      </c>
      <c r="S22" s="39" t="n">
        <f aca="false">'Financial Statements'!$F$26*(1+$C$5)^16</f>
        <v>9884.05707665241</v>
      </c>
      <c r="T22" s="39" t="n">
        <f aca="false">'Financial Statements'!$F$26*(1+$C$5)^17</f>
        <v>10081.7382181855</v>
      </c>
      <c r="U22" s="39" t="n">
        <f aca="false">'Financial Statements'!$F$26*(1+$C$5)^18</f>
        <v>10283.3729825492</v>
      </c>
      <c r="V22" s="39" t="n">
        <f aca="false">'Financial Statements'!$F$26*(1+$C$5)^19</f>
        <v>10489.0404422002</v>
      </c>
      <c r="X22" s="25" t="s">
        <v>317</v>
      </c>
    </row>
    <row r="23" customFormat="false" ht="15" hidden="false" customHeight="true" outlineLevel="0" collapsed="false">
      <c r="B23" s="3" t="s">
        <v>318</v>
      </c>
      <c r="C23" s="30" t="n">
        <f aca="false">(Portfolio!$D$11+C22)*(1+Portfolio!$D$16)</f>
        <v>462078.75</v>
      </c>
      <c r="D23" s="30" t="n">
        <f aca="false">(C23+D22)*(1+Portfolio!$D$16)</f>
        <v>498644.3161875</v>
      </c>
      <c r="E23" s="30" t="n">
        <f aca="false">(D23+E22)*(1+Portfolio!$D$16)</f>
        <v>537642.112150172</v>
      </c>
      <c r="F23" s="30" t="n">
        <f aca="false">(E23+F22)*(1+Portfolio!$D$16)</f>
        <v>579226.66465712</v>
      </c>
      <c r="G23" s="30" t="n">
        <f aca="false">(F23+G22)*(1+Portfolio!$D$16)</f>
        <v>623562.182178138</v>
      </c>
      <c r="H23" s="30" t="n">
        <f aca="false">(G23+H22)*(1+Portfolio!$D$16)</f>
        <v>670823.158817761</v>
      </c>
      <c r="I23" s="30" t="n">
        <f aca="false">(H23+I22)*(1+Portfolio!$D$16)</f>
        <v>721195.015869181</v>
      </c>
      <c r="J23" s="30" t="n">
        <f aca="false">(I23+J22)*(1+Portfolio!$D$16)</f>
        <v>774874.783330353</v>
      </c>
      <c r="K23" s="30" t="n">
        <f aca="false">(J23+K22)*(1+Portfolio!$D$16)</f>
        <v>832071.823870449</v>
      </c>
      <c r="L23" s="30" t="n">
        <f aca="false">(K23+L22)*(1+Portfolio!$D$16)</f>
        <v>893008.601889722</v>
      </c>
      <c r="M23" s="30" t="n">
        <f aca="false">(L23+M22)*(1+Portfolio!$D$16)</f>
        <v>957921.500480361</v>
      </c>
      <c r="N23" s="30" t="n">
        <f aca="false">(M23+N22)*(1+Portfolio!$D$16)</f>
        <v>1027061.68927073</v>
      </c>
      <c r="O23" s="30" t="n">
        <f aca="false">(N23+O22)*(1+Portfolio!$D$16)</f>
        <v>1100696.046321</v>
      </c>
      <c r="P23" s="30" t="n">
        <f aca="false">(O23+P22)*(1+Portfolio!$D$16)</f>
        <v>1179108.13743552</v>
      </c>
      <c r="Q23" s="30" t="n">
        <f aca="false">(P23+Q22)*(1+Portfolio!$D$16)</f>
        <v>1262599.25646654</v>
      </c>
      <c r="R23" s="30" t="n">
        <f aca="false">(Q23+R22)*(1+Portfolio!$D$16)</f>
        <v>1351489.53040675</v>
      </c>
      <c r="S23" s="30" t="n">
        <f aca="false">(R23+S22)*(1+Portfolio!$D$16)</f>
        <v>1446119.09330425</v>
      </c>
      <c r="T23" s="30" t="n">
        <f aca="false">(S23+T22)*(1+Portfolio!$D$16)</f>
        <v>1546849.3332847</v>
      </c>
      <c r="U23" s="30" t="n">
        <f aca="false">(T23+U22)*(1+Portfolio!$D$16)</f>
        <v>1654064.21723239</v>
      </c>
      <c r="V23" s="30" t="n">
        <f aca="false">(U23+V22)*(1+Portfolio!$D$16)</f>
        <v>1768171.69796483</v>
      </c>
    </row>
    <row r="25" customFormat="false" ht="15" hidden="false" customHeight="true" outlineLevel="0" collapsed="false">
      <c r="B25" s="3" t="s">
        <v>319</v>
      </c>
      <c r="C25" s="54" t="n">
        <f aca="false">C23+990000*(1.02)^1+140000*(1.02)^1-C20</f>
        <v>1262203.28929277</v>
      </c>
      <c r="D25" s="54" t="n">
        <f aca="false">D23+990000*(1.02)^2+140000*(1.02)^2-D20</f>
        <v>1337483.93769297</v>
      </c>
      <c r="E25" s="54" t="n">
        <f aca="false">E23+990000*(1.02)^3+140000*(1.02)^3-E20</f>
        <v>1416323.53686239</v>
      </c>
      <c r="F25" s="54" t="n">
        <f aca="false">F23+990000*(1.02)^4+140000*(1.02)^4-F20</f>
        <v>1498914.12581238</v>
      </c>
      <c r="G25" s="54" t="n">
        <f aca="false">G23+990000*(1.02)^5+140000*(1.02)^5-G20</f>
        <v>1585458.81205726</v>
      </c>
      <c r="H25" s="54" t="n">
        <f aca="false">H23+990000*(1.02)^6+140000*(1.02)^6-H20</f>
        <v>1676172.43033815</v>
      </c>
      <c r="I25" s="54" t="n">
        <f aca="false">I23+990000*(1.02)^7+140000*(1.02)^7-I20</f>
        <v>1771282.24121217</v>
      </c>
      <c r="J25" s="54" t="n">
        <f aca="false">J23+990000*(1.02)^8+140000*(1.02)^8-J20</f>
        <v>1871028.6719432</v>
      </c>
      <c r="K25" s="54" t="n">
        <f aca="false">K23+990000*(1.02)^9+140000*(1.02)^9-K20</f>
        <v>1975666.10228012</v>
      </c>
      <c r="L25" s="54" t="n">
        <f aca="false">L23+990000*(1.02)^10+140000*(1.02)^10-L20</f>
        <v>2085463.69786735</v>
      </c>
      <c r="M25" s="54" t="n">
        <f aca="false">M23+990000*(1.02)^11+140000*(1.02)^11-M20</f>
        <v>2200706.29420144</v>
      </c>
      <c r="N25" s="54" t="n">
        <f aca="false">N23+990000*(1.02)^12+140000*(1.02)^12-N20</f>
        <v>2321695.33422678</v>
      </c>
      <c r="O25" s="54" t="n">
        <f aca="false">O23+990000*(1.02)^13+140000*(1.02)^13-O20</f>
        <v>2448749.8628537</v>
      </c>
      <c r="P25" s="54" t="n">
        <f aca="false">P23+990000*(1.02)^14+140000*(1.02)^14-P20</f>
        <v>2582207.58188434</v>
      </c>
      <c r="Q25" s="54" t="n">
        <f aca="false">Q23+990000*(1.02)^15+140000*(1.02)^15-Q20</f>
        <v>2722425.96904632</v>
      </c>
      <c r="R25" s="54" t="n">
        <f aca="false">R23+990000*(1.02)^16+140000*(1.02)^16-R20</f>
        <v>2869783.46506205</v>
      </c>
      <c r="S25" s="54" t="n">
        <f aca="false">S23+990000*(1.02)^17+140000*(1.02)^17-S20</f>
        <v>3024680.73292323</v>
      </c>
      <c r="T25" s="54" t="n">
        <f aca="false">T23+990000*(1.02)^18+140000*(1.02)^18-T20</f>
        <v>3160767.59304589</v>
      </c>
      <c r="U25" s="54" t="n">
        <f aca="false">U23+990000*(1.02)^19+140000*(1.02)^19-U20</f>
        <v>3300260.8421888</v>
      </c>
      <c r="V25" s="54" t="n">
        <f aca="false">V23+990000*(1.02)^20+140000*(1.02)^20-V20</f>
        <v>3447292.25542037</v>
      </c>
      <c r="X25" s="55" t="s">
        <v>320</v>
      </c>
    </row>
    <row r="27" customFormat="false" ht="15" hidden="false" customHeight="true" outlineLevel="0" collapsed="false">
      <c r="B27" s="3" t="s">
        <v>321</v>
      </c>
      <c r="C27" s="56" t="n">
        <f aca="false">IF(C17&gt;=0,1,COUNTIF(C17:V17,"&lt;0")+1)</f>
        <v>1</v>
      </c>
      <c r="X27" s="55" t="s">
        <v>317</v>
      </c>
    </row>
  </sheetData>
  <mergeCells count="1">
    <mergeCell ref="B3:V3"/>
  </mergeCells>
  <conditionalFormatting sqref="C17:V17">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0"/>
    <col collapsed="false" customWidth="true" hidden="false" outlineLevel="0" max="4" min="3" style="1" width="15"/>
    <col collapsed="false" customWidth="true" hidden="false" outlineLevel="0" max="5" min="5" style="1" width="3"/>
    <col collapsed="false" customWidth="true" hidden="false" outlineLevel="0" max="6" min="6" style="1" width="52"/>
  </cols>
  <sheetData>
    <row r="3" customFormat="false" ht="21.75" hidden="false" customHeight="true" outlineLevel="0" collapsed="false">
      <c r="B3" s="31" t="s">
        <v>322</v>
      </c>
      <c r="C3" s="31"/>
      <c r="D3" s="31"/>
      <c r="E3" s="31"/>
      <c r="F3" s="31"/>
    </row>
    <row r="5" customFormat="false" ht="15" hidden="false" customHeight="true" outlineLevel="0" collapsed="false">
      <c r="B5" s="15" t="s">
        <v>323</v>
      </c>
      <c r="C5" s="15"/>
      <c r="D5" s="15"/>
      <c r="E5" s="15"/>
      <c r="F5" s="15"/>
    </row>
    <row r="6" customFormat="false" ht="15" hidden="false" customHeight="true" outlineLevel="0" collapsed="false">
      <c r="B6" s="15"/>
      <c r="C6" s="15"/>
      <c r="D6" s="15"/>
      <c r="E6" s="15"/>
      <c r="F6" s="15"/>
    </row>
    <row r="7" customFormat="false" ht="15" hidden="false" customHeight="true" outlineLevel="0" collapsed="false">
      <c r="B7" s="15"/>
      <c r="C7" s="15"/>
      <c r="D7" s="15"/>
      <c r="E7" s="15"/>
      <c r="F7" s="15"/>
    </row>
    <row r="9" customFormat="false" ht="15" hidden="false" customHeight="true" outlineLevel="0" collapsed="false">
      <c r="B9" s="20"/>
      <c r="C9" s="20" t="s">
        <v>108</v>
      </c>
      <c r="D9" s="20" t="s">
        <v>107</v>
      </c>
    </row>
    <row r="10" customFormat="false" ht="15" hidden="false" customHeight="true" outlineLevel="0" collapsed="false">
      <c r="B10" s="4" t="s">
        <v>117</v>
      </c>
      <c r="C10" s="18" t="n">
        <f aca="false">'IKE Tax'!$C$11</f>
        <v>54888.5</v>
      </c>
      <c r="D10" s="18" t="n">
        <f aca="false">'IKE Tax'!$C$11</f>
        <v>54888.5</v>
      </c>
    </row>
    <row r="11" customFormat="false" ht="15" hidden="false" customHeight="true" outlineLevel="0" collapsed="false">
      <c r="B11" s="4" t="s">
        <v>119</v>
      </c>
      <c r="C11" s="18" t="n">
        <f aca="false">'IKE Tax'!$C$12</f>
        <v>-14513.3385</v>
      </c>
      <c r="D11" s="18" t="n">
        <f aca="false">'IKE Tax'!$C$12</f>
        <v>-14513.3385</v>
      </c>
    </row>
    <row r="12" customFormat="false" ht="15" hidden="false" customHeight="true" outlineLevel="0" collapsed="false">
      <c r="B12" s="4" t="s">
        <v>324</v>
      </c>
      <c r="C12" s="18" t="s">
        <v>325</v>
      </c>
      <c r="D12" s="18" t="n">
        <f aca="false">'IKE Tax'!$C$14</f>
        <v>-2500</v>
      </c>
      <c r="F12" s="25" t="s">
        <v>326</v>
      </c>
    </row>
    <row r="13" customFormat="false" ht="15" hidden="false" customHeight="true" outlineLevel="0" collapsed="false">
      <c r="B13" s="4" t="s">
        <v>327</v>
      </c>
      <c r="C13" s="18" t="n">
        <f aca="false">'IKE Tax'!$C$13</f>
        <v>-15618.75</v>
      </c>
      <c r="D13" s="18" t="n">
        <f aca="false">'IKE Tax'!$C$13</f>
        <v>-15618.75</v>
      </c>
    </row>
    <row r="14" customFormat="false" ht="15" hidden="false" customHeight="true" outlineLevel="0" collapsed="false">
      <c r="B14" s="3" t="s">
        <v>328</v>
      </c>
      <c r="C14" s="21" t="n">
        <f aca="false">C10+C11+C13</f>
        <v>24756.4115</v>
      </c>
      <c r="D14" s="21" t="n">
        <f aca="false">D10+D11+D12+D13</f>
        <v>22256.4115</v>
      </c>
    </row>
    <row r="16" customFormat="false" ht="21.75" hidden="false" customHeight="true" outlineLevel="0" collapsed="false">
      <c r="B16" s="4" t="s">
        <v>329</v>
      </c>
      <c r="C16" s="18" t="n">
        <f aca="false">('IKE Tax'!$C$11)*0.95</f>
        <v>52144.075</v>
      </c>
      <c r="D16" s="18" t="n">
        <f aca="false">'IKE Tax'!$C$16</f>
        <v>-2543.58850000001</v>
      </c>
      <c r="F16" s="25" t="s">
        <v>330</v>
      </c>
    </row>
    <row r="17" customFormat="false" ht="21.75" hidden="false" customHeight="true" outlineLevel="0" collapsed="false">
      <c r="B17" s="4" t="s">
        <v>331</v>
      </c>
      <c r="C17" s="18" t="n">
        <f aca="false">-(MIN(C16,12000)*0.15+MAX(0,MIN(C16-12000,12000))*0.25+MAX(0,MIN(C16-24000,12000))*0.35+MAX(0,C16-36000)*0.45)</f>
        <v>-16264.83375</v>
      </c>
      <c r="D17" s="18" t="n">
        <f aca="false">'IKE Tax'!$C$17+'IKE Tax'!$C$24</f>
        <v>-361.593610361723</v>
      </c>
      <c r="F17" s="25" t="s">
        <v>332</v>
      </c>
    </row>
    <row r="18" customFormat="false" ht="15" hidden="false" customHeight="true" outlineLevel="0" collapsed="false">
      <c r="B18" s="3" t="s">
        <v>333</v>
      </c>
      <c r="C18" s="21" t="n">
        <f aca="false">C14+C17</f>
        <v>8491.57775</v>
      </c>
      <c r="D18" s="21" t="n">
        <f aca="false">D14+D17</f>
        <v>21894.8178896383</v>
      </c>
    </row>
    <row r="20" customFormat="false" ht="21.75" hidden="false" customHeight="true" outlineLevel="0" collapsed="false">
      <c r="B20" s="3" t="s">
        <v>334</v>
      </c>
      <c r="C20" s="17"/>
      <c r="D20" s="17" t="n">
        <f aca="false">D18-C18</f>
        <v>13403.2401396383</v>
      </c>
      <c r="F20" s="25" t="s">
        <v>335</v>
      </c>
    </row>
    <row r="22" customFormat="false" ht="15" hidden="false" customHeight="true" outlineLevel="0" collapsed="false">
      <c r="B22" s="57" t="s">
        <v>336</v>
      </c>
      <c r="C22" s="57"/>
      <c r="D22" s="57"/>
      <c r="E22" s="57"/>
      <c r="F22" s="57"/>
    </row>
    <row r="23" customFormat="false" ht="15" hidden="false" customHeight="true" outlineLevel="0" collapsed="false">
      <c r="B23" s="57"/>
      <c r="C23" s="57"/>
      <c r="D23" s="57"/>
      <c r="E23" s="57"/>
      <c r="F23" s="57"/>
    </row>
    <row r="24" customFormat="false" ht="15" hidden="false" customHeight="true" outlineLevel="0" collapsed="false">
      <c r="B24" s="57"/>
      <c r="C24" s="57"/>
      <c r="D24" s="57"/>
      <c r="E24" s="57"/>
      <c r="F24" s="57"/>
    </row>
    <row r="25" customFormat="false" ht="15" hidden="false" customHeight="true" outlineLevel="0" collapsed="false">
      <c r="B25" s="5" t="s">
        <v>337</v>
      </c>
      <c r="C25" s="5"/>
      <c r="D25" s="5"/>
      <c r="E25" s="5"/>
      <c r="F25" s="5"/>
    </row>
    <row r="27" customFormat="false" ht="15" hidden="false" customHeight="true" outlineLevel="0" collapsed="false">
      <c r="B27" s="58" t="s">
        <v>338</v>
      </c>
      <c r="C27" s="58"/>
      <c r="D27" s="58"/>
      <c r="E27" s="58"/>
      <c r="F27" s="58"/>
    </row>
    <row r="28" customFormat="false" ht="15" hidden="false" customHeight="true" outlineLevel="0" collapsed="false">
      <c r="B28" s="59" t="s">
        <v>339</v>
      </c>
    </row>
    <row r="29" customFormat="false" ht="15" hidden="false" customHeight="true" outlineLevel="0" collapsed="false">
      <c r="B29" s="15" t="s">
        <v>340</v>
      </c>
      <c r="C29" s="15"/>
      <c r="D29" s="15"/>
      <c r="E29" s="15"/>
      <c r="F29" s="15"/>
    </row>
    <row r="30" customFormat="false" ht="15" hidden="false" customHeight="true" outlineLevel="0" collapsed="false">
      <c r="B30" s="15"/>
      <c r="C30" s="15"/>
      <c r="D30" s="15"/>
      <c r="E30" s="15"/>
      <c r="F30" s="15"/>
    </row>
    <row r="31" customFormat="false" ht="15" hidden="false" customHeight="true" outlineLevel="0" collapsed="false">
      <c r="B31" s="15" t="s">
        <v>341</v>
      </c>
      <c r="C31" s="15"/>
      <c r="D31" s="15"/>
      <c r="E31" s="15"/>
      <c r="F31" s="15"/>
    </row>
    <row r="32" customFormat="false" ht="15" hidden="false" customHeight="true" outlineLevel="0" collapsed="false">
      <c r="B32" s="15"/>
      <c r="C32" s="15"/>
      <c r="D32" s="15"/>
      <c r="E32" s="15"/>
      <c r="F32" s="15"/>
    </row>
    <row r="33" customFormat="false" ht="15" hidden="false" customHeight="true" outlineLevel="0" collapsed="false">
      <c r="B33" s="15" t="s">
        <v>342</v>
      </c>
      <c r="C33" s="15"/>
      <c r="D33" s="15"/>
      <c r="E33" s="15"/>
      <c r="F33" s="15"/>
    </row>
    <row r="34" customFormat="false" ht="15" hidden="false" customHeight="true" outlineLevel="0" collapsed="false">
      <c r="B34" s="15"/>
      <c r="C34" s="15"/>
      <c r="D34" s="15"/>
      <c r="E34" s="15"/>
      <c r="F34" s="15"/>
    </row>
    <row r="35" customFormat="false" ht="15" hidden="false" customHeight="true" outlineLevel="0" collapsed="false">
      <c r="B35" s="15" t="s">
        <v>343</v>
      </c>
      <c r="C35" s="15"/>
      <c r="D35" s="15"/>
      <c r="E35" s="15"/>
      <c r="F35" s="15"/>
    </row>
    <row r="36" customFormat="false" ht="15" hidden="false" customHeight="true" outlineLevel="0" collapsed="false">
      <c r="B36" s="15"/>
      <c r="C36" s="15"/>
      <c r="D36" s="15"/>
      <c r="E36" s="15"/>
      <c r="F36" s="15"/>
    </row>
    <row r="38" customFormat="false" ht="15" hidden="false" customHeight="true" outlineLevel="0" collapsed="false">
      <c r="B38" s="58" t="s">
        <v>344</v>
      </c>
      <c r="C38" s="58"/>
      <c r="D38" s="58"/>
      <c r="E38" s="58"/>
      <c r="F38" s="58"/>
    </row>
    <row r="39" customFormat="false" ht="15" hidden="false" customHeight="true" outlineLevel="0" collapsed="false">
      <c r="B39" s="59" t="s">
        <v>345</v>
      </c>
    </row>
    <row r="40" customFormat="false" ht="15" hidden="false" customHeight="true" outlineLevel="0" collapsed="false">
      <c r="B40" s="15" t="s">
        <v>346</v>
      </c>
      <c r="C40" s="15"/>
      <c r="D40" s="15"/>
      <c r="E40" s="15"/>
      <c r="F40" s="15"/>
    </row>
    <row r="41" customFormat="false" ht="15" hidden="false" customHeight="true" outlineLevel="0" collapsed="false">
      <c r="B41" s="15"/>
      <c r="C41" s="15"/>
      <c r="D41" s="15"/>
      <c r="E41" s="15"/>
      <c r="F41" s="15"/>
    </row>
    <row r="42" customFormat="false" ht="15" hidden="false" customHeight="true" outlineLevel="0" collapsed="false">
      <c r="B42" s="15" t="s">
        <v>347</v>
      </c>
      <c r="C42" s="15"/>
      <c r="D42" s="15"/>
      <c r="E42" s="15"/>
      <c r="F42" s="15"/>
    </row>
    <row r="43" customFormat="false" ht="15" hidden="false" customHeight="true" outlineLevel="0" collapsed="false">
      <c r="B43" s="15"/>
      <c r="C43" s="15"/>
      <c r="D43" s="15"/>
      <c r="E43" s="15"/>
      <c r="F43" s="15"/>
    </row>
    <row r="44" customFormat="false" ht="15" hidden="false" customHeight="true" outlineLevel="0" collapsed="false">
      <c r="B44" s="15" t="s">
        <v>348</v>
      </c>
      <c r="C44" s="15"/>
      <c r="D44" s="15"/>
      <c r="E44" s="15"/>
      <c r="F44" s="15"/>
    </row>
    <row r="45" customFormat="false" ht="15" hidden="false" customHeight="true" outlineLevel="0" collapsed="false">
      <c r="B45" s="15"/>
      <c r="C45" s="15"/>
      <c r="D45" s="15"/>
      <c r="E45" s="15"/>
      <c r="F45" s="15"/>
    </row>
    <row r="46" customFormat="false" ht="15" hidden="false" customHeight="true" outlineLevel="0" collapsed="false">
      <c r="B46" s="15" t="s">
        <v>349</v>
      </c>
      <c r="C46" s="15"/>
      <c r="D46" s="15"/>
      <c r="E46" s="15"/>
      <c r="F46" s="15"/>
    </row>
    <row r="47" customFormat="false" ht="15" hidden="false" customHeight="true" outlineLevel="0" collapsed="false">
      <c r="B47" s="15"/>
      <c r="C47" s="15"/>
      <c r="D47" s="15"/>
      <c r="E47" s="15"/>
      <c r="F47" s="15"/>
    </row>
    <row r="48" customFormat="false" ht="15" hidden="false" customHeight="true" outlineLevel="0" collapsed="false">
      <c r="B48" s="15" t="s">
        <v>350</v>
      </c>
      <c r="C48" s="15"/>
      <c r="D48" s="15"/>
      <c r="E48" s="15"/>
      <c r="F48" s="15"/>
    </row>
    <row r="49" customFormat="false" ht="15" hidden="false" customHeight="true" outlineLevel="0" collapsed="false">
      <c r="B49" s="15"/>
      <c r="C49" s="15"/>
      <c r="D49" s="15"/>
      <c r="E49" s="15"/>
      <c r="F49" s="15"/>
    </row>
    <row r="51" customFormat="false" ht="15" hidden="false" customHeight="true" outlineLevel="0" collapsed="false">
      <c r="B51" s="60" t="s">
        <v>351</v>
      </c>
      <c r="C51" s="60"/>
      <c r="D51" s="60"/>
      <c r="E51" s="60"/>
      <c r="F51" s="60"/>
    </row>
    <row r="52" customFormat="false" ht="15" hidden="false" customHeight="true" outlineLevel="0" collapsed="false">
      <c r="B52" s="60"/>
      <c r="C52" s="60"/>
      <c r="D52" s="60"/>
      <c r="E52" s="60"/>
      <c r="F52" s="60"/>
    </row>
    <row r="53" customFormat="false" ht="15" hidden="false" customHeight="true" outlineLevel="0" collapsed="false">
      <c r="B53" s="60"/>
      <c r="C53" s="60"/>
      <c r="D53" s="60"/>
      <c r="E53" s="60"/>
      <c r="F53" s="60"/>
    </row>
  </sheetData>
  <mergeCells count="16">
    <mergeCell ref="B3:F3"/>
    <mergeCell ref="B5:F7"/>
    <mergeCell ref="B22:F24"/>
    <mergeCell ref="B25:F25"/>
    <mergeCell ref="B27:F27"/>
    <mergeCell ref="B29:F30"/>
    <mergeCell ref="B31:F32"/>
    <mergeCell ref="B33:F34"/>
    <mergeCell ref="B35:F36"/>
    <mergeCell ref="B38:F38"/>
    <mergeCell ref="B40:F41"/>
    <mergeCell ref="B42:F43"/>
    <mergeCell ref="B44:F45"/>
    <mergeCell ref="B46:F47"/>
    <mergeCell ref="B48:F49"/>
    <mergeCell ref="B51:F5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52"/>
    <col collapsed="false" customWidth="true" hidden="false" outlineLevel="0" max="3" min="3" style="1" width="16"/>
    <col collapsed="false" customWidth="true" hidden="false" outlineLevel="0" max="4" min="4" style="1" width="3"/>
    <col collapsed="false" customWidth="true" hidden="false" outlineLevel="0" max="5" min="5" style="1" width="12"/>
  </cols>
  <sheetData>
    <row r="3" customFormat="false" ht="21.75" hidden="false" customHeight="true" outlineLevel="0" collapsed="false">
      <c r="B3" s="31" t="s">
        <v>352</v>
      </c>
      <c r="C3" s="31"/>
      <c r="D3" s="31"/>
      <c r="E3" s="31"/>
    </row>
    <row r="5" customFormat="false" ht="15" hidden="false" customHeight="true" outlineLevel="0" collapsed="false">
      <c r="B5" s="6" t="s">
        <v>353</v>
      </c>
      <c r="C5" s="6" t="s">
        <v>354</v>
      </c>
      <c r="E5" s="6" t="s">
        <v>355</v>
      </c>
    </row>
    <row r="6" customFormat="false" ht="15" hidden="false" customHeight="true" outlineLevel="0" collapsed="false">
      <c r="B6" s="4" t="s">
        <v>356</v>
      </c>
      <c r="C6" s="61" t="n">
        <f aca="false">Allocation!D16-Allocation!D5</f>
        <v>0</v>
      </c>
      <c r="E6" s="62" t="str">
        <f aca="false">IF(ABS(Allocation!D16-Allocation!D5)&lt;1,"OK","FAIL")</f>
        <v>OK</v>
      </c>
    </row>
    <row r="7" customFormat="false" ht="15" hidden="false" customHeight="true" outlineLevel="0" collapsed="false">
      <c r="B7" s="4" t="s">
        <v>357</v>
      </c>
      <c r="C7" s="61" t="n">
        <f aca="false">Portfolio!C11</f>
        <v>1</v>
      </c>
      <c r="E7" s="62" t="str">
        <f aca="false">IF(ABS(Portfolio!C11-1)&lt;0.001,"OK","FAIL")</f>
        <v>OK</v>
      </c>
    </row>
    <row r="8" customFormat="false" ht="15" hidden="false" customHeight="true" outlineLevel="0" collapsed="false">
      <c r="B8" s="4" t="s">
        <v>358</v>
      </c>
      <c r="C8" s="61" t="n">
        <f aca="false">'Financial Statements'!C21</f>
        <v>1257800</v>
      </c>
      <c r="E8" s="62" t="str">
        <f aca="false">IF('Financial Statements'!C21&gt;0,"OK","FAIL")</f>
        <v>OK</v>
      </c>
    </row>
    <row r="9" customFormat="false" ht="15" hidden="false" customHeight="true" outlineLevel="0" collapsed="false">
      <c r="B9" s="4" t="s">
        <v>359</v>
      </c>
      <c r="C9" s="61" t="n">
        <f aca="false">'Debt Schedule'!F34</f>
        <v>0</v>
      </c>
      <c r="E9" s="62" t="str">
        <f aca="false">IF('Debt Schedule'!F34&lt;1,"OK","FAIL")</f>
        <v>OK</v>
      </c>
    </row>
    <row r="10" customFormat="false" ht="15" hidden="false" customHeight="true" outlineLevel="0" collapsed="false">
      <c r="B10" s="4" t="s">
        <v>360</v>
      </c>
      <c r="C10" s="61" t="n">
        <f aca="false">'IKE Tax'!$C$23</f>
        <v>7231.87220723445</v>
      </c>
      <c r="E10" s="62" t="str">
        <f aca="false">IF('IKE Tax'!$C$23&gt;0,"OK","REVIEW")</f>
        <v>OK</v>
      </c>
    </row>
    <row r="11" customFormat="false" ht="15" hidden="false" customHeight="true" outlineLevel="0" collapsed="false">
      <c r="B11" s="4" t="s">
        <v>361</v>
      </c>
      <c r="C11" s="61" t="n">
        <f aca="false">'Structure Comparison'!D20</f>
        <v>13403.2401396383</v>
      </c>
      <c r="E11" s="62" t="str">
        <f aca="false">IF('Structure Comparison'!D20&gt;0,"OK","REVIEW")</f>
        <v>OK</v>
      </c>
    </row>
    <row r="12" customFormat="false" ht="15" hidden="false" customHeight="true" outlineLevel="0" collapsed="false">
      <c r="B12" s="4" t="s">
        <v>362</v>
      </c>
      <c r="C12" s="61" t="n">
        <f aca="false">'Ratio Analysis'!C5</f>
        <v>22.8571428571429</v>
      </c>
      <c r="E12" s="62" t="str">
        <f aca="false">IF('Ratio Analysis'!C5&gt;=6,"OK","REVIEW")</f>
        <v>OK</v>
      </c>
    </row>
    <row r="13" customFormat="false" ht="15" hidden="false" customHeight="true" outlineLevel="0" collapsed="false">
      <c r="B13" s="4" t="s">
        <v>363</v>
      </c>
      <c r="C13" s="61" t="n">
        <f aca="false">'Ratio Analysis'!C7</f>
        <v>1.23600182533087</v>
      </c>
      <c r="E13" s="62" t="str">
        <f aca="false">IF('Ratio Analysis'!C7&gt;1,"OK","REVIEW")</f>
        <v>OK</v>
      </c>
    </row>
    <row r="14" customFormat="false" ht="15" hidden="false" customHeight="true" outlineLevel="0" collapsed="false">
      <c r="B14" s="4" t="s">
        <v>364</v>
      </c>
      <c r="C14" s="61" t="n">
        <f aca="false">Projection!C27</f>
        <v>1</v>
      </c>
      <c r="E14" s="62" t="str">
        <f aca="false">IF(Projection!C27&lt;=20,"OK","REVIEW")</f>
        <v>OK</v>
      </c>
    </row>
    <row r="16" customFormat="false" ht="15" hidden="false" customHeight="true" outlineLevel="0" collapsed="false">
      <c r="B16" s="63" t="str">
        <f aca="false">IF(COUNTIF(E6:E14,"FAIL")=0,"ALL CHECKS PASSED","ERRORS FOUND")</f>
        <v>ALL CHECKS PASSED</v>
      </c>
      <c r="C16" s="63"/>
      <c r="D16" s="63"/>
      <c r="E16" s="63"/>
    </row>
  </sheetData>
  <mergeCells count="2">
    <mergeCell ref="B3:E3"/>
    <mergeCell ref="B16:E16"/>
  </mergeCells>
  <conditionalFormatting sqref="E6:E14">
    <cfRule type="expression" priority="2" aboveAverage="0" equalAverage="0" bottom="0" percent="0" rank="0" text="" dxfId="2">
      <formula>$E6="OK"</formula>
    </cfRule>
    <cfRule type="expression" priority="3" aboveAverage="0" equalAverage="0" bottom="0" percent="0" rank="0" text="" dxfId="3">
      <formula>$E6="FAIL"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P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6"/>
    <col collapsed="false" customWidth="true" hidden="false" outlineLevel="0" max="14" min="3" style="1" width="11"/>
    <col collapsed="false" customWidth="true" hidden="false" outlineLevel="0" max="15" min="15" style="1" width="3"/>
    <col collapsed="false" customWidth="true" hidden="false" outlineLevel="0" max="16" min="16" style="1" width="50"/>
  </cols>
  <sheetData>
    <row r="3" customFormat="false" ht="21.75" hidden="false" customHeight="true" outlineLevel="0" collapsed="false">
      <c r="B3" s="31" t="s">
        <v>365</v>
      </c>
      <c r="C3" s="31"/>
      <c r="D3" s="31"/>
      <c r="E3" s="31"/>
      <c r="F3" s="31"/>
      <c r="G3" s="31"/>
      <c r="H3" s="31"/>
      <c r="I3" s="31"/>
      <c r="J3" s="31"/>
      <c r="K3" s="31"/>
      <c r="L3" s="31"/>
      <c r="M3" s="31"/>
      <c r="N3" s="31"/>
    </row>
    <row r="5" customFormat="false" ht="18" hidden="false" customHeight="true" outlineLevel="0" collapsed="false">
      <c r="B5" s="5" t="s">
        <v>366</v>
      </c>
      <c r="C5" s="5"/>
      <c r="D5" s="5"/>
      <c r="E5" s="5"/>
      <c r="F5" s="5"/>
      <c r="G5" s="5"/>
      <c r="H5" s="5"/>
      <c r="I5" s="5"/>
      <c r="J5" s="5"/>
      <c r="K5" s="5"/>
      <c r="L5" s="5"/>
      <c r="M5" s="5"/>
      <c r="N5" s="5"/>
    </row>
    <row r="6" customFormat="false" ht="15" hidden="false" customHeight="true" outlineLevel="0" collapsed="false">
      <c r="B6" s="15" t="s">
        <v>367</v>
      </c>
      <c r="C6" s="15"/>
      <c r="D6" s="15"/>
      <c r="E6" s="15"/>
      <c r="F6" s="15"/>
      <c r="G6" s="15"/>
      <c r="H6" s="15"/>
      <c r="I6" s="15"/>
      <c r="J6" s="15"/>
      <c r="K6" s="15"/>
      <c r="L6" s="15"/>
      <c r="M6" s="15"/>
      <c r="N6" s="15"/>
    </row>
    <row r="7" customFormat="false" ht="15" hidden="false" customHeight="true" outlineLevel="0" collapsed="false">
      <c r="B7" s="15"/>
      <c r="C7" s="15"/>
      <c r="D7" s="15"/>
      <c r="E7" s="15"/>
      <c r="F7" s="15"/>
      <c r="G7" s="15"/>
      <c r="H7" s="15"/>
      <c r="I7" s="15"/>
      <c r="J7" s="15"/>
      <c r="K7" s="15"/>
      <c r="L7" s="15"/>
      <c r="M7" s="15"/>
      <c r="N7" s="15"/>
    </row>
    <row r="8" customFormat="false" ht="15" hidden="false" customHeight="true" outlineLevel="0" collapsed="false">
      <c r="B8" s="15"/>
      <c r="C8" s="15"/>
      <c r="D8" s="15"/>
      <c r="E8" s="15"/>
      <c r="F8" s="15"/>
      <c r="G8" s="15"/>
      <c r="H8" s="15"/>
      <c r="I8" s="15"/>
      <c r="J8" s="15"/>
      <c r="K8" s="15"/>
      <c r="L8" s="15"/>
      <c r="M8" s="15"/>
      <c r="N8" s="15"/>
    </row>
    <row r="10" customFormat="false" ht="18" hidden="false" customHeight="true" outlineLevel="0" collapsed="false">
      <c r="B10" s="5" t="s">
        <v>368</v>
      </c>
      <c r="C10" s="5"/>
      <c r="D10" s="5"/>
      <c r="E10" s="5"/>
      <c r="F10" s="5"/>
      <c r="G10" s="5"/>
      <c r="H10" s="5"/>
      <c r="I10" s="5"/>
      <c r="J10" s="5"/>
      <c r="K10" s="5"/>
      <c r="L10" s="5"/>
      <c r="M10" s="5"/>
      <c r="N10" s="5"/>
    </row>
    <row r="11" customFormat="false" ht="15" hidden="false" customHeight="true" outlineLevel="0" collapsed="false">
      <c r="B11" s="4" t="s">
        <v>369</v>
      </c>
      <c r="C11" s="26" t="n">
        <v>33</v>
      </c>
    </row>
    <row r="12" customFormat="false" ht="15" hidden="false" customHeight="true" outlineLevel="0" collapsed="false">
      <c r="B12" s="4" t="s">
        <v>370</v>
      </c>
      <c r="C12" s="26" t="n">
        <v>67</v>
      </c>
    </row>
    <row r="13" customFormat="false" ht="74.25" hidden="false" customHeight="true" outlineLevel="0" collapsed="false">
      <c r="B13" s="4" t="s">
        <v>371</v>
      </c>
      <c r="C13" s="13" t="n">
        <v>1750</v>
      </c>
      <c r="E13" s="25" t="s">
        <v>372</v>
      </c>
    </row>
    <row r="14" customFormat="false" ht="53.25" hidden="false" customHeight="true" outlineLevel="0" collapsed="false">
      <c r="B14" s="4" t="s">
        <v>373</v>
      </c>
      <c r="C14" s="13" t="n">
        <v>2200</v>
      </c>
      <c r="E14" s="25" t="s">
        <v>374</v>
      </c>
    </row>
    <row r="16" customFormat="false" ht="18" hidden="false" customHeight="true" outlineLevel="0" collapsed="false">
      <c r="B16" s="5" t="s">
        <v>375</v>
      </c>
      <c r="C16" s="5"/>
      <c r="D16" s="5"/>
      <c r="E16" s="5"/>
      <c r="F16" s="5"/>
      <c r="G16" s="5"/>
      <c r="H16" s="5"/>
      <c r="I16" s="5"/>
      <c r="J16" s="5"/>
      <c r="K16" s="5"/>
      <c r="L16" s="5"/>
      <c r="M16" s="5"/>
      <c r="N16" s="5"/>
    </row>
    <row r="17" customFormat="false" ht="15" hidden="false" customHeight="true" outlineLevel="0" collapsed="false">
      <c r="B17" s="3" t="s">
        <v>159</v>
      </c>
      <c r="C17" s="20" t="n">
        <v>1</v>
      </c>
      <c r="D17" s="20" t="n">
        <v>3</v>
      </c>
      <c r="E17" s="20" t="n">
        <v>5</v>
      </c>
      <c r="F17" s="20" t="n">
        <v>10</v>
      </c>
      <c r="G17" s="20" t="n">
        <v>15</v>
      </c>
      <c r="H17" s="20" t="n">
        <v>20</v>
      </c>
      <c r="I17" s="20" t="n">
        <v>25</v>
      </c>
      <c r="J17" s="20" t="n">
        <v>30</v>
      </c>
      <c r="K17" s="20" t="n">
        <v>34</v>
      </c>
    </row>
    <row r="18" customFormat="false" ht="15" hidden="false" customHeight="true" outlineLevel="0" collapsed="false">
      <c r="B18" s="4" t="s">
        <v>43</v>
      </c>
      <c r="C18" s="64" t="n">
        <f aca="false">$C$11+1</f>
        <v>34</v>
      </c>
      <c r="D18" s="64" t="n">
        <f aca="false">$C$11+3</f>
        <v>36</v>
      </c>
      <c r="E18" s="64" t="n">
        <f aca="false">$C$11+5</f>
        <v>38</v>
      </c>
      <c r="F18" s="64" t="n">
        <f aca="false">$C$11+10</f>
        <v>43</v>
      </c>
      <c r="G18" s="64" t="n">
        <f aca="false">$C$11+15</f>
        <v>48</v>
      </c>
      <c r="H18" s="64" t="n">
        <f aca="false">$C$11+20</f>
        <v>53</v>
      </c>
      <c r="I18" s="64" t="n">
        <f aca="false">$C$11+25</f>
        <v>58</v>
      </c>
      <c r="J18" s="64" t="n">
        <f aca="false">$C$11+30</f>
        <v>63</v>
      </c>
      <c r="K18" s="64" t="n">
        <f aca="false">$C$11+34</f>
        <v>67</v>
      </c>
    </row>
    <row r="19" customFormat="false" ht="21.75" hidden="false" customHeight="true" outlineLevel="0" collapsed="false">
      <c r="B19" s="3" t="s">
        <v>376</v>
      </c>
      <c r="C19" s="30" t="n">
        <f aca="false">('Financial Statements'!$F$10*(1+Projection!$C$5)^0+IF(1&lt;='Debt Schedule'!$C$35,MAX(0,'IKE Tax'!$C$21*(1+Projection!$C$5)^0-'Debt Schedule'!$C$11),'IKE Tax'!$C$21*(1+Projection!$C$5)^0)*0.95+'Financial Statements'!$F$12*(1+Portfolio!$D$16-0.014)^0)/12</f>
        <v>1667.26488307273</v>
      </c>
      <c r="D19" s="30" t="n">
        <f aca="false">('Financial Statements'!$F$10*(1+Projection!$C$5)^2+IF(3&lt;='Debt Schedule'!$C$35,MAX(0,'IKE Tax'!$C$21*(1+Projection!$C$5)^2-'Debt Schedule'!$C$11),'IKE Tax'!$C$21*(1+Projection!$C$5)^2)*0.95+'Financial Statements'!$F$12*(1+Portfolio!$D$16-0.014)^2)/12</f>
        <v>1861.79128393064</v>
      </c>
      <c r="E19" s="30" t="n">
        <f aca="false">('Financial Statements'!$F$10*(1+Projection!$C$5)^4+IF(5&lt;='Debt Schedule'!$C$35,MAX(0,'IKE Tax'!$C$21*(1+Projection!$C$5)^4-'Debt Schedule'!$C$11),'IKE Tax'!$C$21*(1+Projection!$C$5)^4)*0.95+'Financial Statements'!$F$12*(1+Portfolio!$D$16-0.014)^4)/12</f>
        <v>2067.05852059048</v>
      </c>
      <c r="F19" s="30" t="n">
        <f aca="false">('Financial Statements'!$F$10*(1+Projection!$C$5)^9+IF(10&lt;='Debt Schedule'!$C$35,MAX(0,'IKE Tax'!$C$21*(1+Projection!$C$5)^9-'Debt Schedule'!$C$11),'IKE Tax'!$C$21*(1+Projection!$C$5)^9)*0.95+'Financial Statements'!$F$12*(1+Portfolio!$D$16-0.014)^9)/12</f>
        <v>2632.07653421397</v>
      </c>
      <c r="G19" s="30" t="n">
        <f aca="false">('Financial Statements'!$F$10*(1+Projection!$C$5)^14+IF(15&lt;='Debt Schedule'!$C$35,MAX(0,'IKE Tax'!$C$21*(1+Projection!$C$5)^14-'Debt Schedule'!$C$11),'IKE Tax'!$C$21*(1+Projection!$C$5)^14)*0.95+'Financial Statements'!$F$12*(1+Portfolio!$D$16-0.014)^14)/12</f>
        <v>3281.77530536368</v>
      </c>
      <c r="H19" s="30" t="n">
        <f aca="false">('Financial Statements'!$F$10*(1+Projection!$C$5)^19+IF(20&lt;='Debt Schedule'!$C$35,MAX(0,'IKE Tax'!$C$21*(1+Projection!$C$5)^19-'Debt Schedule'!$C$11),'IKE Tax'!$C$21*(1+Projection!$C$5)^19)*0.95+'Financial Statements'!$F$12*(1+Portfolio!$D$16-0.014)^19)/12</f>
        <v>6457.76957676414</v>
      </c>
      <c r="I19" s="30" t="n">
        <f aca="false">('Financial Statements'!$F$10*(1+Projection!$C$5)^24+IF(25&lt;='Debt Schedule'!$C$35,MAX(0,'IKE Tax'!$C$21*(1+Projection!$C$5)^24-'Debt Schedule'!$C$11),'IKE Tax'!$C$21*(1+Projection!$C$5)^24)*0.95+'Financial Statements'!$F$12*(1+Portfolio!$D$16-0.014)^24)/12</f>
        <v>7327.35197150279</v>
      </c>
      <c r="J19" s="30" t="n">
        <f aca="false">('Financial Statements'!$F$10*(1+Projection!$C$5)^29+IF(30&lt;='Debt Schedule'!$C$35,MAX(0,'IKE Tax'!$C$21*(1+Projection!$C$5)^29-'Debt Schedule'!$C$11),'IKE Tax'!$C$21*(1+Projection!$C$5)^29)*0.95+'Financial Statements'!$F$12*(1+Portfolio!$D$16-0.014)^29)/12</f>
        <v>8339.90064585779</v>
      </c>
      <c r="K19" s="30" t="n">
        <f aca="false">('Financial Statements'!$F$10*(1+Projection!$C$5)^33+IF(34&lt;='Debt Schedule'!$C$35,MAX(0,'IKE Tax'!$C$21*(1+Projection!$C$5)^33-'Debt Schedule'!$C$11),'IKE Tax'!$C$21*(1+Projection!$C$5)^33)*0.95+'Financial Statements'!$F$12*(1+Portfolio!$D$16-0.014)^33)/12</f>
        <v>9272.0279001236</v>
      </c>
      <c r="P19" s="25" t="s">
        <v>377</v>
      </c>
    </row>
    <row r="20" customFormat="false" ht="15" hidden="false" customHeight="true" outlineLevel="0" collapsed="false">
      <c r="B20" s="4" t="s">
        <v>378</v>
      </c>
      <c r="C20" s="39" t="n">
        <f aca="false">$C$13*1.02^1</f>
        <v>1785</v>
      </c>
      <c r="D20" s="39" t="n">
        <f aca="false">$C$13*1.02^3</f>
        <v>1857.114</v>
      </c>
      <c r="E20" s="39" t="n">
        <f aca="false">$C$13*1.02^5</f>
        <v>1932.1414056</v>
      </c>
      <c r="F20" s="39" t="n">
        <f aca="false">$C$13*1.02^10</f>
        <v>2133.24023499083</v>
      </c>
      <c r="G20" s="39" t="n">
        <f aca="false">$C$13*1.02^15</f>
        <v>2355.26959206723</v>
      </c>
      <c r="H20" s="39" t="n">
        <f aca="false">$C$13*1.02^20</f>
        <v>2600.40794296212</v>
      </c>
      <c r="I20" s="39" t="n">
        <f aca="false">$C$13*1.02^25</f>
        <v>2871.06049031328</v>
      </c>
      <c r="J20" s="39" t="n">
        <f aca="false">$C$13*1.02^30</f>
        <v>3169.88277218087</v>
      </c>
      <c r="K20" s="39" t="n">
        <f aca="false">$C$13*1.02^34</f>
        <v>3431.18305603853</v>
      </c>
    </row>
    <row r="21" customFormat="false" ht="15" hidden="false" customHeight="true" outlineLevel="0" collapsed="false">
      <c r="B21" s="3" t="s">
        <v>379</v>
      </c>
      <c r="C21" s="16" t="n">
        <f aca="false">C19-C20</f>
        <v>-117.735116927272</v>
      </c>
      <c r="D21" s="16" t="n">
        <f aca="false">D19-D20</f>
        <v>4.67728393064408</v>
      </c>
      <c r="E21" s="16" t="n">
        <f aca="false">E19-E20</f>
        <v>134.917114990481</v>
      </c>
      <c r="F21" s="16" t="n">
        <f aca="false">F19-F20</f>
        <v>498.836299223148</v>
      </c>
      <c r="G21" s="16" t="n">
        <f aca="false">G19-G20</f>
        <v>926.505713296448</v>
      </c>
      <c r="H21" s="16" t="n">
        <f aca="false">H19-H20</f>
        <v>3857.36163380202</v>
      </c>
      <c r="I21" s="16" t="n">
        <f aca="false">I19-I20</f>
        <v>4456.29148118951</v>
      </c>
      <c r="J21" s="16" t="n">
        <f aca="false">J19-J20</f>
        <v>5170.01787367692</v>
      </c>
      <c r="K21" s="16" t="n">
        <f aca="false">K19-K20</f>
        <v>5840.84484408508</v>
      </c>
    </row>
    <row r="23" customFormat="false" ht="18" hidden="false" customHeight="true" outlineLevel="0" collapsed="false">
      <c r="B23" s="5" t="s">
        <v>380</v>
      </c>
      <c r="C23" s="5"/>
      <c r="D23" s="5"/>
      <c r="E23" s="5"/>
      <c r="F23" s="5"/>
      <c r="G23" s="5"/>
      <c r="H23" s="5"/>
      <c r="I23" s="5"/>
      <c r="J23" s="5"/>
      <c r="K23" s="5"/>
      <c r="L23" s="5"/>
      <c r="M23" s="5"/>
      <c r="N23" s="5"/>
    </row>
    <row r="24" customFormat="false" ht="15" hidden="false" customHeight="true" outlineLevel="0" collapsed="false">
      <c r="B24" s="4" t="s">
        <v>381</v>
      </c>
      <c r="C24" s="65" t="n">
        <f aca="false">C12-C11</f>
        <v>34</v>
      </c>
    </row>
    <row r="25" customFormat="false" ht="21.75" hidden="false" customHeight="true" outlineLevel="0" collapsed="false">
      <c r="B25" s="4" t="s">
        <v>316</v>
      </c>
      <c r="C25" s="18" t="n">
        <f aca="false">'Financial Statements'!F26</f>
        <v>7200</v>
      </c>
      <c r="E25" s="25" t="s">
        <v>382</v>
      </c>
    </row>
    <row r="26" customFormat="false" ht="53.25" hidden="false" customHeight="true" outlineLevel="0" collapsed="false">
      <c r="B26" s="4" t="s">
        <v>383</v>
      </c>
      <c r="C26" s="18" t="n">
        <f aca="false">'Financial Statements'!F12/0.014*(1+Portfolio!$D$16)^C24+C25*(((1+Portfolio!$D$16)^C24-1)/Portfolio!$D$16)</f>
        <v>4119585.43197651</v>
      </c>
      <c r="E26" s="25" t="s">
        <v>384</v>
      </c>
    </row>
    <row r="27" customFormat="false" ht="53.25" hidden="false" customHeight="true" outlineLevel="0" collapsed="false">
      <c r="B27" s="4" t="s">
        <v>385</v>
      </c>
      <c r="C27" s="18" t="n">
        <f aca="false">990000*1.02^34</f>
        <v>1941069.2717018</v>
      </c>
      <c r="E27" s="25" t="s">
        <v>386</v>
      </c>
    </row>
    <row r="28" customFormat="false" ht="53.25" hidden="false" customHeight="true" outlineLevel="0" collapsed="false">
      <c r="B28" s="4" t="s">
        <v>387</v>
      </c>
      <c r="C28" s="18" t="n">
        <f aca="false">167500*1.02^34</f>
        <v>328413.235363688</v>
      </c>
      <c r="E28" s="25" t="s">
        <v>388</v>
      </c>
    </row>
    <row r="29" customFormat="false" ht="15" hidden="false" customHeight="true" outlineLevel="0" collapsed="false">
      <c r="B29" s="3" t="s">
        <v>389</v>
      </c>
      <c r="C29" s="54" t="n">
        <f aca="false">C26+C27+C28</f>
        <v>6389067.939042</v>
      </c>
    </row>
    <row r="30" customFormat="false" ht="42.75" hidden="false" customHeight="true" outlineLevel="0" collapsed="false">
      <c r="B30" s="4" t="s">
        <v>390</v>
      </c>
      <c r="C30" s="18" t="n">
        <f aca="false">C29*0.035/12</f>
        <v>18634.7814888725</v>
      </c>
      <c r="E30" s="25" t="s">
        <v>391</v>
      </c>
    </row>
    <row r="31" customFormat="false" ht="21.75" hidden="false" customHeight="true" outlineLevel="0" collapsed="false">
      <c r="B31" s="4" t="s">
        <v>392</v>
      </c>
      <c r="C31" s="18" t="n">
        <f aca="false">C14*1.02^34</f>
        <v>4313.48727044844</v>
      </c>
      <c r="E31" s="25" t="s">
        <v>393</v>
      </c>
    </row>
    <row r="32" customFormat="false" ht="42.75" hidden="false" customHeight="true" outlineLevel="0" collapsed="false">
      <c r="B32" s="3" t="s">
        <v>394</v>
      </c>
      <c r="C32" s="66" t="n">
        <f aca="false">C30/C31</f>
        <v>4.3201197361909</v>
      </c>
      <c r="E32" s="25" t="s">
        <v>395</v>
      </c>
    </row>
    <row r="35" customFormat="false" ht="18" hidden="false" customHeight="true" outlineLevel="0" collapsed="false">
      <c r="B35" s="5" t="s">
        <v>396</v>
      </c>
      <c r="C35" s="5"/>
      <c r="D35" s="5"/>
      <c r="E35" s="5"/>
      <c r="F35" s="5"/>
      <c r="G35" s="5"/>
      <c r="H35" s="5"/>
      <c r="I35" s="5"/>
      <c r="J35" s="5"/>
      <c r="K35" s="5"/>
      <c r="L35" s="5"/>
      <c r="M35" s="5"/>
      <c r="N35" s="5"/>
    </row>
    <row r="36" customFormat="false" ht="15" hidden="false" customHeight="true" outlineLevel="0" collapsed="false">
      <c r="B36" s="15" t="s">
        <v>397</v>
      </c>
      <c r="C36" s="15"/>
      <c r="D36" s="15"/>
      <c r="E36" s="15"/>
      <c r="F36" s="15"/>
      <c r="G36" s="15"/>
      <c r="H36" s="15"/>
      <c r="I36" s="15"/>
      <c r="J36" s="15"/>
      <c r="K36" s="15"/>
      <c r="L36" s="15"/>
      <c r="M36" s="15"/>
      <c r="N36" s="15"/>
    </row>
    <row r="37" customFormat="false" ht="15" hidden="false" customHeight="true" outlineLevel="0" collapsed="false">
      <c r="B37" s="15"/>
      <c r="C37" s="15"/>
      <c r="D37" s="15"/>
      <c r="E37" s="15"/>
      <c r="F37" s="15"/>
      <c r="G37" s="15"/>
      <c r="H37" s="15"/>
      <c r="I37" s="15"/>
      <c r="J37" s="15"/>
      <c r="K37" s="15"/>
      <c r="L37" s="15"/>
      <c r="M37" s="15"/>
      <c r="N37" s="15"/>
    </row>
    <row r="38" customFormat="false" ht="15" hidden="false" customHeight="true" outlineLevel="0" collapsed="false">
      <c r="B38" s="15" t="s">
        <v>398</v>
      </c>
      <c r="C38" s="15"/>
      <c r="D38" s="15"/>
      <c r="E38" s="15"/>
      <c r="F38" s="15"/>
      <c r="G38" s="15"/>
      <c r="H38" s="15"/>
      <c r="I38" s="15"/>
      <c r="J38" s="15"/>
      <c r="K38" s="15"/>
      <c r="L38" s="15"/>
      <c r="M38" s="15"/>
      <c r="N38" s="15"/>
    </row>
    <row r="39" customFormat="false" ht="15" hidden="false" customHeight="true" outlineLevel="0" collapsed="false">
      <c r="B39" s="15"/>
      <c r="C39" s="15"/>
      <c r="D39" s="15"/>
      <c r="E39" s="15"/>
      <c r="F39" s="15"/>
      <c r="G39" s="15"/>
      <c r="H39" s="15"/>
      <c r="I39" s="15"/>
      <c r="J39" s="15"/>
      <c r="K39" s="15"/>
      <c r="L39" s="15"/>
      <c r="M39" s="15"/>
      <c r="N39" s="15"/>
    </row>
    <row r="40" customFormat="false" ht="15" hidden="false" customHeight="true" outlineLevel="0" collapsed="false">
      <c r="B40" s="15" t="s">
        <v>399</v>
      </c>
      <c r="C40" s="15"/>
      <c r="D40" s="15"/>
      <c r="E40" s="15"/>
      <c r="F40" s="15"/>
      <c r="G40" s="15"/>
      <c r="H40" s="15"/>
      <c r="I40" s="15"/>
      <c r="J40" s="15"/>
      <c r="K40" s="15"/>
      <c r="L40" s="15"/>
      <c r="M40" s="15"/>
      <c r="N40" s="15"/>
    </row>
    <row r="41" customFormat="false" ht="15" hidden="false" customHeight="true" outlineLevel="0" collapsed="false">
      <c r="B41" s="15"/>
      <c r="C41" s="15"/>
      <c r="D41" s="15"/>
      <c r="E41" s="15"/>
      <c r="F41" s="15"/>
      <c r="G41" s="15"/>
      <c r="H41" s="15"/>
      <c r="I41" s="15"/>
      <c r="J41" s="15"/>
      <c r="K41" s="15"/>
      <c r="L41" s="15"/>
      <c r="M41" s="15"/>
      <c r="N41" s="15"/>
    </row>
    <row r="42" customFormat="false" ht="15" hidden="false" customHeight="true" outlineLevel="0" collapsed="false">
      <c r="B42" s="15" t="s">
        <v>400</v>
      </c>
      <c r="C42" s="15"/>
      <c r="D42" s="15"/>
      <c r="E42" s="15"/>
      <c r="F42" s="15"/>
      <c r="G42" s="15"/>
      <c r="H42" s="15"/>
      <c r="I42" s="15"/>
      <c r="J42" s="15"/>
      <c r="K42" s="15"/>
      <c r="L42" s="15"/>
      <c r="M42" s="15"/>
      <c r="N42" s="15"/>
    </row>
    <row r="43" customFormat="false" ht="15" hidden="false" customHeight="true" outlineLevel="0" collapsed="false">
      <c r="B43" s="15"/>
      <c r="C43" s="15"/>
      <c r="D43" s="15"/>
      <c r="E43" s="15"/>
      <c r="F43" s="15"/>
      <c r="G43" s="15"/>
      <c r="H43" s="15"/>
      <c r="I43" s="15"/>
      <c r="J43" s="15"/>
      <c r="K43" s="15"/>
      <c r="L43" s="15"/>
      <c r="M43" s="15"/>
      <c r="N43" s="15"/>
    </row>
  </sheetData>
  <mergeCells count="11">
    <mergeCell ref="B3:N3"/>
    <mergeCell ref="B5:N5"/>
    <mergeCell ref="B6:N8"/>
    <mergeCell ref="B10:N10"/>
    <mergeCell ref="B16:N16"/>
    <mergeCell ref="B23:N23"/>
    <mergeCell ref="B35:N35"/>
    <mergeCell ref="B36:N37"/>
    <mergeCell ref="B38:N39"/>
    <mergeCell ref="B40:N41"/>
    <mergeCell ref="B42:N43"/>
  </mergeCells>
  <conditionalFormatting sqref="C21:K21">
    <cfRule type="cellIs" priority="2" operator="lessThan" aboveAverage="0" equalAverage="0" bottom="0" percent="0" rank="0" text="" dxfId="0">
      <formula>0</formula>
    </cfRule>
    <cfRule type="cellIs" priority="3" operator="greaterThanOr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15"/>
    <col collapsed="false" customWidth="true" hidden="false" outlineLevel="0" max="4" min="4" style="0" width="3"/>
    <col collapsed="false" customWidth="true" hidden="false" outlineLevel="0" max="5" min="5" style="0" width="56"/>
  </cols>
  <sheetData>
    <row r="3" customFormat="false" ht="21.75" hidden="false" customHeight="true" outlineLevel="0" collapsed="false">
      <c r="B3" s="67" t="s">
        <v>401</v>
      </c>
      <c r="C3" s="67"/>
      <c r="D3" s="67"/>
      <c r="E3" s="67"/>
    </row>
    <row r="5" customFormat="false" ht="15" hidden="false" customHeight="true" outlineLevel="0" collapsed="false">
      <c r="B5" s="15" t="s">
        <v>402</v>
      </c>
      <c r="C5" s="15"/>
      <c r="D5" s="15"/>
      <c r="E5" s="15"/>
    </row>
    <row r="6" customFormat="false" ht="15" hidden="false" customHeight="true" outlineLevel="0" collapsed="false">
      <c r="B6" s="15"/>
      <c r="C6" s="15"/>
      <c r="D6" s="15"/>
      <c r="E6" s="15"/>
    </row>
    <row r="7" customFormat="false" ht="15" hidden="false" customHeight="true" outlineLevel="0" collapsed="false">
      <c r="B7" s="15"/>
      <c r="C7" s="15"/>
      <c r="D7" s="15"/>
      <c r="E7" s="15"/>
    </row>
    <row r="9" customFormat="false" ht="18" hidden="false" customHeight="true" outlineLevel="0" collapsed="false">
      <c r="B9" s="68" t="s">
        <v>403</v>
      </c>
      <c r="C9" s="68"/>
      <c r="D9" s="68"/>
      <c r="E9" s="68"/>
    </row>
    <row r="10" customFormat="false" ht="15" hidden="false" customHeight="true" outlineLevel="0" collapsed="false">
      <c r="B10" s="15" t="s">
        <v>404</v>
      </c>
      <c r="C10" s="15"/>
      <c r="D10" s="15"/>
      <c r="E10" s="15"/>
    </row>
    <row r="11" customFormat="false" ht="15" hidden="false" customHeight="true" outlineLevel="0" collapsed="false">
      <c r="B11" s="15"/>
      <c r="C11" s="15"/>
      <c r="D11" s="15"/>
      <c r="E11" s="15"/>
    </row>
    <row r="12" customFormat="false" ht="15" hidden="false" customHeight="true" outlineLevel="0" collapsed="false">
      <c r="B12" s="15" t="s">
        <v>405</v>
      </c>
      <c r="C12" s="15"/>
      <c r="D12" s="15"/>
      <c r="E12" s="15"/>
    </row>
    <row r="13" customFormat="false" ht="15" hidden="false" customHeight="true" outlineLevel="0" collapsed="false">
      <c r="B13" s="15"/>
      <c r="C13" s="15"/>
      <c r="D13" s="15"/>
      <c r="E13" s="15"/>
    </row>
    <row r="14" customFormat="false" ht="15" hidden="false" customHeight="true" outlineLevel="0" collapsed="false">
      <c r="B14" s="15" t="s">
        <v>406</v>
      </c>
      <c r="C14" s="15"/>
      <c r="D14" s="15"/>
      <c r="E14" s="15"/>
    </row>
    <row r="15" customFormat="false" ht="15" hidden="false" customHeight="true" outlineLevel="0" collapsed="false">
      <c r="B15" s="15"/>
      <c r="C15" s="15"/>
      <c r="D15" s="15"/>
      <c r="E15" s="15"/>
    </row>
    <row r="16" customFormat="false" ht="15" hidden="false" customHeight="true" outlineLevel="0" collapsed="false">
      <c r="B16" s="15" t="s">
        <v>407</v>
      </c>
      <c r="C16" s="15"/>
      <c r="D16" s="15"/>
      <c r="E16" s="15"/>
    </row>
    <row r="17" customFormat="false" ht="15" hidden="false" customHeight="true" outlineLevel="0" collapsed="false">
      <c r="B17" s="15"/>
      <c r="C17" s="15"/>
      <c r="D17" s="15"/>
      <c r="E17" s="15"/>
    </row>
    <row r="19" customFormat="false" ht="18" hidden="false" customHeight="true" outlineLevel="0" collapsed="false">
      <c r="B19" s="68" t="s">
        <v>408</v>
      </c>
      <c r="C19" s="68"/>
      <c r="D19" s="68"/>
      <c r="E19" s="68"/>
    </row>
    <row r="20" customFormat="false" ht="22.35" hidden="false" customHeight="false" outlineLevel="0" collapsed="false">
      <c r="B20" s="69" t="s">
        <v>409</v>
      </c>
      <c r="C20" s="70" t="n">
        <f aca="false">'Debt Schedule'!C5</f>
        <v>367500</v>
      </c>
      <c r="E20" s="25" t="s">
        <v>410</v>
      </c>
    </row>
    <row r="21" customFormat="false" ht="15" hidden="false" customHeight="false" outlineLevel="0" collapsed="false">
      <c r="B21" s="69" t="s">
        <v>152</v>
      </c>
      <c r="C21" s="71" t="n">
        <v>20</v>
      </c>
      <c r="E21" s="25" t="s">
        <v>411</v>
      </c>
    </row>
    <row r="22" customFormat="false" ht="22.35" hidden="false" customHeight="false" outlineLevel="0" collapsed="false">
      <c r="B22" s="69" t="s">
        <v>412</v>
      </c>
      <c r="C22" s="72" t="n">
        <v>420</v>
      </c>
      <c r="E22" s="25" t="s">
        <v>413</v>
      </c>
    </row>
    <row r="23" customFormat="false" ht="22.35" hidden="false" customHeight="false" outlineLevel="0" collapsed="false">
      <c r="B23" s="69" t="s">
        <v>414</v>
      </c>
      <c r="C23" s="72" t="n">
        <v>1500</v>
      </c>
      <c r="E23" s="25" t="s">
        <v>415</v>
      </c>
    </row>
    <row r="24" customFormat="false" ht="15" hidden="false" customHeight="false" outlineLevel="0" collapsed="false">
      <c r="B24" s="69" t="s">
        <v>412</v>
      </c>
      <c r="C24" s="72" t="n">
        <v>540</v>
      </c>
    </row>
    <row r="25" customFormat="false" ht="15" hidden="false" customHeight="false" outlineLevel="0" collapsed="false">
      <c r="B25" s="69" t="s">
        <v>416</v>
      </c>
      <c r="C25" s="72" t="n">
        <v>75000</v>
      </c>
      <c r="E25" s="25" t="s">
        <v>417</v>
      </c>
    </row>
    <row r="26" customFormat="false" ht="15" hidden="false" customHeight="false" outlineLevel="0" collapsed="false">
      <c r="B26" s="69" t="s">
        <v>412</v>
      </c>
      <c r="C26" s="72" t="n">
        <v>380</v>
      </c>
    </row>
    <row r="27" customFormat="false" ht="15" hidden="false" customHeight="false" outlineLevel="0" collapsed="false">
      <c r="B27" s="73" t="s">
        <v>418</v>
      </c>
      <c r="C27" s="74" t="n">
        <f aca="false">C22+C24+C26</f>
        <v>1340</v>
      </c>
    </row>
    <row r="28" customFormat="false" ht="15" hidden="false" customHeight="false" outlineLevel="0" collapsed="false">
      <c r="B28" s="69" t="s">
        <v>419</v>
      </c>
      <c r="C28" s="75" t="n">
        <f aca="false">C27/'Financial Statements'!F16/12</f>
        <v>0.021610401091005</v>
      </c>
      <c r="E28" s="25" t="s">
        <v>420</v>
      </c>
    </row>
    <row r="30" customFormat="false" ht="18" hidden="false" customHeight="true" outlineLevel="0" collapsed="false">
      <c r="B30" s="68" t="s">
        <v>421</v>
      </c>
      <c r="C30" s="68"/>
      <c r="D30" s="68"/>
      <c r="E30" s="68"/>
    </row>
    <row r="31" customFormat="false" ht="15" hidden="false" customHeight="true" outlineLevel="0" collapsed="false">
      <c r="B31" s="15" t="s">
        <v>422</v>
      </c>
      <c r="C31" s="15"/>
      <c r="D31" s="15"/>
      <c r="E31" s="15"/>
    </row>
    <row r="32" customFormat="false" ht="15" hidden="false" customHeight="true" outlineLevel="0" collapsed="false">
      <c r="B32" s="15"/>
      <c r="C32" s="15"/>
      <c r="D32" s="15"/>
      <c r="E32" s="15"/>
    </row>
    <row r="33" customFormat="false" ht="15" hidden="false" customHeight="true" outlineLevel="0" collapsed="false">
      <c r="B33" s="15"/>
      <c r="C33" s="15"/>
      <c r="D33" s="15"/>
      <c r="E33" s="15"/>
    </row>
  </sheetData>
  <mergeCells count="10">
    <mergeCell ref="B3:E3"/>
    <mergeCell ref="B5:E7"/>
    <mergeCell ref="B9:E9"/>
    <mergeCell ref="B10:E11"/>
    <mergeCell ref="B12:E13"/>
    <mergeCell ref="B14:E15"/>
    <mergeCell ref="B16:E17"/>
    <mergeCell ref="B19:E19"/>
    <mergeCell ref="B30:E30"/>
    <mergeCell ref="B31:E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15"/>
    <col collapsed="false" customWidth="true" hidden="false" outlineLevel="0" max="4" min="4" style="0" width="3"/>
    <col collapsed="false" customWidth="true" hidden="false" outlineLevel="0" max="5" min="5" style="0" width="56"/>
  </cols>
  <sheetData>
    <row r="3" customFormat="false" ht="21.75" hidden="false" customHeight="true" outlineLevel="0" collapsed="false">
      <c r="B3" s="67" t="s">
        <v>423</v>
      </c>
      <c r="C3" s="67"/>
      <c r="D3" s="67"/>
      <c r="E3" s="67"/>
    </row>
    <row r="5" customFormat="false" ht="15" hidden="false" customHeight="true" outlineLevel="0" collapsed="false">
      <c r="B5" s="15" t="s">
        <v>424</v>
      </c>
      <c r="C5" s="15"/>
      <c r="D5" s="15"/>
      <c r="E5" s="15"/>
    </row>
    <row r="6" customFormat="false" ht="15" hidden="false" customHeight="true" outlineLevel="0" collapsed="false">
      <c r="B6" s="15"/>
      <c r="C6" s="15"/>
      <c r="D6" s="15"/>
      <c r="E6" s="15"/>
    </row>
    <row r="7" customFormat="false" ht="15" hidden="false" customHeight="true" outlineLevel="0" collapsed="false">
      <c r="B7" s="15"/>
      <c r="C7" s="15"/>
      <c r="D7" s="15"/>
      <c r="E7" s="15"/>
    </row>
    <row r="9" customFormat="false" ht="18" hidden="false" customHeight="true" outlineLevel="0" collapsed="false">
      <c r="B9" s="68" t="s">
        <v>425</v>
      </c>
      <c r="C9" s="68"/>
      <c r="D9" s="68"/>
      <c r="E9" s="68"/>
    </row>
    <row r="10" customFormat="false" ht="15" hidden="false" customHeight="true" outlineLevel="0" collapsed="false">
      <c r="B10" s="15" t="s">
        <v>426</v>
      </c>
      <c r="C10" s="15"/>
      <c r="D10" s="15"/>
      <c r="E10" s="15"/>
    </row>
    <row r="11" customFormat="false" ht="15" hidden="false" customHeight="true" outlineLevel="0" collapsed="false">
      <c r="B11" s="15"/>
      <c r="C11" s="15"/>
      <c r="D11" s="15"/>
      <c r="E11" s="15"/>
    </row>
    <row r="12" customFormat="false" ht="15" hidden="false" customHeight="true" outlineLevel="0" collapsed="false">
      <c r="B12" s="15" t="s">
        <v>427</v>
      </c>
      <c r="C12" s="15"/>
      <c r="D12" s="15"/>
      <c r="E12" s="15"/>
    </row>
    <row r="13" customFormat="false" ht="15" hidden="false" customHeight="true" outlineLevel="0" collapsed="false">
      <c r="B13" s="15"/>
      <c r="C13" s="15"/>
      <c r="D13" s="15"/>
      <c r="E13" s="15"/>
    </row>
    <row r="14" customFormat="false" ht="15" hidden="false" customHeight="true" outlineLevel="0" collapsed="false">
      <c r="B14" s="15" t="s">
        <v>428</v>
      </c>
      <c r="C14" s="15"/>
      <c r="D14" s="15"/>
      <c r="E14" s="15"/>
    </row>
    <row r="15" customFormat="false" ht="15" hidden="false" customHeight="true" outlineLevel="0" collapsed="false">
      <c r="B15" s="15"/>
      <c r="C15" s="15"/>
      <c r="D15" s="15"/>
      <c r="E15" s="15"/>
    </row>
    <row r="16" customFormat="false" ht="15" hidden="false" customHeight="true" outlineLevel="0" collapsed="false">
      <c r="B16" s="15" t="s">
        <v>429</v>
      </c>
      <c r="C16" s="15"/>
      <c r="D16" s="15"/>
      <c r="E16" s="15"/>
    </row>
    <row r="17" customFormat="false" ht="15" hidden="false" customHeight="true" outlineLevel="0" collapsed="false">
      <c r="B17" s="15"/>
      <c r="C17" s="15"/>
      <c r="D17" s="15"/>
      <c r="E17" s="15"/>
    </row>
    <row r="19" customFormat="false" ht="18" hidden="false" customHeight="true" outlineLevel="0" collapsed="false">
      <c r="B19" s="68" t="s">
        <v>430</v>
      </c>
      <c r="C19" s="68"/>
      <c r="D19" s="68"/>
      <c r="E19" s="68"/>
    </row>
    <row r="20" customFormat="false" ht="15" hidden="false" customHeight="false" outlineLevel="0" collapsed="false">
      <c r="B20" s="69" t="s">
        <v>431</v>
      </c>
      <c r="C20" s="70" t="n">
        <f aca="false">'Financial Statements'!C21</f>
        <v>1257800</v>
      </c>
      <c r="E20" s="25" t="s">
        <v>432</v>
      </c>
    </row>
    <row r="21" customFormat="false" ht="15" hidden="false" customHeight="false" outlineLevel="0" collapsed="false">
      <c r="B21" s="69" t="s">
        <v>433</v>
      </c>
      <c r="C21" s="70" t="n">
        <f aca="false">'Financial Statements'!C11+250000</f>
        <v>465000</v>
      </c>
      <c r="E21" s="25" t="s">
        <v>434</v>
      </c>
    </row>
    <row r="22" customFormat="false" ht="15" hidden="false" customHeight="false" outlineLevel="0" collapsed="false">
      <c r="B22" s="69" t="s">
        <v>435</v>
      </c>
      <c r="C22" s="75" t="n">
        <f aca="false">C21/C20</f>
        <v>0.369693114962633</v>
      </c>
    </row>
    <row r="23" customFormat="false" ht="15" hidden="false" customHeight="false" outlineLevel="0" collapsed="false">
      <c r="B23" s="69" t="s">
        <v>436</v>
      </c>
      <c r="C23" s="76" t="n">
        <v>0.25</v>
      </c>
      <c r="E23" s="25" t="s">
        <v>437</v>
      </c>
    </row>
    <row r="24" customFormat="false" ht="15" hidden="false" customHeight="false" outlineLevel="0" collapsed="false">
      <c r="B24" s="73" t="s">
        <v>438</v>
      </c>
      <c r="C24" s="77" t="str">
        <f aca="false">IF(C22&gt;=C23,"YES","NO — REVIEW")</f>
        <v>YES</v>
      </c>
      <c r="E24" s="25" t="s">
        <v>439</v>
      </c>
    </row>
    <row r="26" customFormat="false" ht="18" hidden="false" customHeight="true" outlineLevel="0" collapsed="false">
      <c r="B26" s="68" t="s">
        <v>440</v>
      </c>
      <c r="C26" s="68"/>
      <c r="D26" s="68"/>
      <c r="E26" s="68"/>
    </row>
    <row r="27" customFormat="false" ht="15" hidden="false" customHeight="true" outlineLevel="0" collapsed="false">
      <c r="B27" s="15" t="s">
        <v>441</v>
      </c>
      <c r="C27" s="15"/>
      <c r="D27" s="15"/>
      <c r="E27" s="15"/>
    </row>
    <row r="28" customFormat="false" ht="15" hidden="false" customHeight="true" outlineLevel="0" collapsed="false">
      <c r="B28" s="15"/>
      <c r="C28" s="15"/>
      <c r="D28" s="15"/>
      <c r="E28" s="15"/>
    </row>
    <row r="29" customFormat="false" ht="15" hidden="false" customHeight="true" outlineLevel="0" collapsed="false">
      <c r="B29" s="15" t="s">
        <v>442</v>
      </c>
      <c r="C29" s="15"/>
      <c r="D29" s="15"/>
      <c r="E29" s="15"/>
    </row>
    <row r="30" customFormat="false" ht="15" hidden="false" customHeight="true" outlineLevel="0" collapsed="false">
      <c r="B30" s="15"/>
      <c r="C30" s="15"/>
      <c r="D30" s="15"/>
      <c r="E30" s="15"/>
    </row>
    <row r="31" customFormat="false" ht="15" hidden="false" customHeight="true" outlineLevel="0" collapsed="false">
      <c r="B31" s="15" t="s">
        <v>443</v>
      </c>
      <c r="C31" s="15"/>
      <c r="D31" s="15"/>
      <c r="E31" s="15"/>
    </row>
    <row r="32" customFormat="false" ht="15" hidden="false" customHeight="true" outlineLevel="0" collapsed="false">
      <c r="B32" s="15"/>
      <c r="C32" s="15"/>
      <c r="D32" s="15"/>
      <c r="E32" s="15"/>
    </row>
    <row r="33" customFormat="false" ht="15" hidden="false" customHeight="true" outlineLevel="0" collapsed="false">
      <c r="B33" s="15" t="s">
        <v>444</v>
      </c>
      <c r="C33" s="15"/>
      <c r="D33" s="15"/>
      <c r="E33" s="15"/>
    </row>
    <row r="34" customFormat="false" ht="15" hidden="false" customHeight="true" outlineLevel="0" collapsed="false">
      <c r="B34" s="15"/>
      <c r="C34" s="15"/>
      <c r="D34" s="15"/>
      <c r="E34" s="15"/>
    </row>
  </sheetData>
  <mergeCells count="13">
    <mergeCell ref="B3:E3"/>
    <mergeCell ref="B5:E7"/>
    <mergeCell ref="B9:E9"/>
    <mergeCell ref="B10:E11"/>
    <mergeCell ref="B12:E13"/>
    <mergeCell ref="B14:E15"/>
    <mergeCell ref="B16:E17"/>
    <mergeCell ref="B19:E19"/>
    <mergeCell ref="B26:E26"/>
    <mergeCell ref="B27:E28"/>
    <mergeCell ref="B29:E30"/>
    <mergeCell ref="B31:E32"/>
    <mergeCell ref="B33:E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8"/>
    <col collapsed="false" customWidth="true" hidden="false" outlineLevel="0" max="6" min="3" style="0" width="14"/>
    <col collapsed="false" customWidth="true" hidden="false" outlineLevel="0" max="7" min="7" style="0" width="3"/>
    <col collapsed="false" customWidth="true" hidden="false" outlineLevel="0" max="8" min="8" style="0" width="50"/>
  </cols>
  <sheetData>
    <row r="3" customFormat="false" ht="21.75" hidden="false" customHeight="true" outlineLevel="0" collapsed="false">
      <c r="B3" s="67" t="s">
        <v>445</v>
      </c>
      <c r="C3" s="67"/>
      <c r="D3" s="67"/>
      <c r="E3" s="67"/>
      <c r="F3" s="67"/>
    </row>
    <row r="5" customFormat="false" ht="15" hidden="false" customHeight="true" outlineLevel="0" collapsed="false">
      <c r="B5" s="15" t="s">
        <v>446</v>
      </c>
      <c r="C5" s="15"/>
      <c r="D5" s="15"/>
      <c r="E5" s="15"/>
      <c r="F5" s="15"/>
    </row>
    <row r="6" customFormat="false" ht="15" hidden="false" customHeight="true" outlineLevel="0" collapsed="false">
      <c r="B6" s="15"/>
      <c r="C6" s="15"/>
      <c r="D6" s="15"/>
      <c r="E6" s="15"/>
      <c r="F6" s="15"/>
    </row>
    <row r="7" customFormat="false" ht="15" hidden="false" customHeight="true" outlineLevel="0" collapsed="false">
      <c r="B7" s="15"/>
      <c r="C7" s="15"/>
      <c r="D7" s="15"/>
      <c r="E7" s="15"/>
      <c r="F7" s="15"/>
    </row>
    <row r="9" customFormat="false" ht="27.75" hidden="false" customHeight="true" outlineLevel="0" collapsed="false">
      <c r="B9" s="78"/>
      <c r="C9" s="78" t="s">
        <v>447</v>
      </c>
      <c r="D9" s="78" t="s">
        <v>448</v>
      </c>
      <c r="E9" s="78" t="s">
        <v>449</v>
      </c>
      <c r="F9" s="78" t="s">
        <v>450</v>
      </c>
    </row>
    <row r="10" customFormat="false" ht="22.35" hidden="false" customHeight="false" outlineLevel="0" collapsed="false">
      <c r="B10" s="69" t="s">
        <v>307</v>
      </c>
      <c r="C10" s="79" t="n">
        <f aca="false">'IKE Tax'!C21</f>
        <v>37875.1615</v>
      </c>
      <c r="D10" s="79" t="n">
        <f aca="false">'IKE Tax'!C21</f>
        <v>37875.1615</v>
      </c>
      <c r="E10" s="79" t="n">
        <f aca="false">'IKE Tax'!C21-10200*0.5</f>
        <v>32775.1615</v>
      </c>
      <c r="F10" s="79" t="n">
        <f aca="false">'IKE Tax'!C21-'Property Schedule'!F23+11000</f>
        <v>37690.5715</v>
      </c>
      <c r="H10" s="25" t="s">
        <v>451</v>
      </c>
    </row>
    <row r="11" customFormat="false" ht="15" hidden="false" customHeight="false" outlineLevel="0" collapsed="false">
      <c r="B11" s="69" t="s">
        <v>327</v>
      </c>
      <c r="C11" s="79" t="n">
        <f aca="false">-'Debt Schedule'!D15</f>
        <v>-15618.75</v>
      </c>
      <c r="D11" s="79" t="n">
        <f aca="false">-367500*0.06</f>
        <v>-22050</v>
      </c>
      <c r="E11" s="79" t="n">
        <f aca="false">-'Debt Schedule'!D15</f>
        <v>-15618.75</v>
      </c>
      <c r="F11" s="79" t="n">
        <f aca="false">-'Debt Schedule'!D15</f>
        <v>-15618.75</v>
      </c>
      <c r="H11" s="25" t="s">
        <v>452</v>
      </c>
    </row>
    <row r="12" customFormat="false" ht="15" hidden="false" customHeight="false" outlineLevel="0" collapsed="false">
      <c r="B12" s="69" t="s">
        <v>453</v>
      </c>
      <c r="C12" s="79" t="n">
        <f aca="false">-'Debt Schedule'!C11</f>
        <v>-30643.2892927656</v>
      </c>
      <c r="D12" s="79" t="n">
        <f aca="false">-(-PMT(0.06,20,367500)+3000)</f>
        <v>-35040.3246889929</v>
      </c>
      <c r="E12" s="79" t="n">
        <f aca="false">-'Debt Schedule'!C11</f>
        <v>-30643.2892927656</v>
      </c>
      <c r="F12" s="79" t="n">
        <f aca="false">-'Debt Schedule'!C11</f>
        <v>-30643.2892927656</v>
      </c>
    </row>
    <row r="13" customFormat="false" ht="15" hidden="false" customHeight="false" outlineLevel="0" collapsed="false">
      <c r="B13" s="73" t="s">
        <v>210</v>
      </c>
      <c r="C13" s="80" t="n">
        <f aca="false">C10+C12</f>
        <v>7231.87220723445</v>
      </c>
      <c r="D13" s="80" t="n">
        <f aca="false">D10+D12</f>
        <v>2834.8368110071</v>
      </c>
      <c r="E13" s="80" t="n">
        <f aca="false">E10+E12</f>
        <v>2131.87220723445</v>
      </c>
      <c r="F13" s="80" t="n">
        <f aca="false">F10+F12</f>
        <v>7047.28220723445</v>
      </c>
    </row>
    <row r="14" customFormat="false" ht="22.35" hidden="false" customHeight="false" outlineLevel="0" collapsed="false">
      <c r="B14" s="73" t="s">
        <v>454</v>
      </c>
      <c r="C14" s="81" t="n">
        <f aca="false">C10/-C12</f>
        <v>1.23600182533087</v>
      </c>
      <c r="D14" s="81" t="n">
        <f aca="false">D10/-D12</f>
        <v>1.08090212736806</v>
      </c>
      <c r="E14" s="81" t="n">
        <f aca="false">E10/-E12</f>
        <v>1.06957060604254</v>
      </c>
      <c r="F14" s="81" t="n">
        <f aca="false">F10/-F12</f>
        <v>1.2299779941998</v>
      </c>
      <c r="H14" s="25" t="s">
        <v>455</v>
      </c>
    </row>
    <row r="15" customFormat="false" ht="15" hidden="false" customHeight="false" outlineLevel="0" collapsed="false">
      <c r="B15" s="73" t="s">
        <v>257</v>
      </c>
      <c r="C15" s="82" t="n">
        <f aca="false">'Financial Statements'!F16</f>
        <v>5167.26488307273</v>
      </c>
      <c r="D15" s="82" t="n">
        <f aca="false">'Financial Statements'!F16-(C13-D13)*0.95/12</f>
        <v>4819.16624753806</v>
      </c>
      <c r="E15" s="82" t="n">
        <f aca="false">'Financial Statements'!F16-(C13-E13)*0.95/12</f>
        <v>4763.51488307273</v>
      </c>
      <c r="F15" s="82" t="n">
        <f aca="false">'Financial Statements'!F16-(C13-F13)*0.95/12</f>
        <v>5152.65150807273</v>
      </c>
    </row>
    <row r="16" customFormat="false" ht="15" hidden="false" customHeight="false" outlineLevel="0" collapsed="false">
      <c r="B16" s="73" t="s">
        <v>456</v>
      </c>
      <c r="C16" s="82" t="n">
        <f aca="false">C15-5200</f>
        <v>-32.7351169272724</v>
      </c>
      <c r="D16" s="82" t="n">
        <f aca="false">D15-5200</f>
        <v>-380.833752461938</v>
      </c>
      <c r="E16" s="82" t="n">
        <f aca="false">E15-5200</f>
        <v>-436.485116927272</v>
      </c>
      <c r="F16" s="82" t="n">
        <f aca="false">F15-5200</f>
        <v>-47.3484919272723</v>
      </c>
    </row>
    <row r="19" customFormat="false" ht="18" hidden="false" customHeight="true" outlineLevel="0" collapsed="false">
      <c r="B19" s="68" t="s">
        <v>457</v>
      </c>
      <c r="C19" s="68"/>
      <c r="D19" s="68"/>
      <c r="E19" s="68"/>
      <c r="F19" s="68"/>
    </row>
    <row r="20" customFormat="false" ht="15" hidden="false" customHeight="true" outlineLevel="0" collapsed="false">
      <c r="B20" s="15" t="s">
        <v>458</v>
      </c>
      <c r="C20" s="15"/>
      <c r="D20" s="15"/>
      <c r="E20" s="15"/>
      <c r="F20" s="15"/>
    </row>
    <row r="21" customFormat="false" ht="15" hidden="false" customHeight="true" outlineLevel="0" collapsed="false">
      <c r="B21" s="15"/>
      <c r="C21" s="15"/>
      <c r="D21" s="15"/>
      <c r="E21" s="15"/>
      <c r="F21" s="15"/>
    </row>
    <row r="22" customFormat="false" ht="15" hidden="false" customHeight="true" outlineLevel="0" collapsed="false">
      <c r="B22" s="15" t="s">
        <v>459</v>
      </c>
      <c r="C22" s="15"/>
      <c r="D22" s="15"/>
      <c r="E22" s="15"/>
      <c r="F22" s="15"/>
    </row>
    <row r="23" customFormat="false" ht="15" hidden="false" customHeight="true" outlineLevel="0" collapsed="false">
      <c r="B23" s="15"/>
      <c r="C23" s="15"/>
      <c r="D23" s="15"/>
      <c r="E23" s="15"/>
      <c r="F23" s="15"/>
    </row>
    <row r="24" customFormat="false" ht="15" hidden="false" customHeight="true" outlineLevel="0" collapsed="false">
      <c r="B24" s="15" t="s">
        <v>460</v>
      </c>
      <c r="C24" s="15"/>
      <c r="D24" s="15"/>
      <c r="E24" s="15"/>
      <c r="F24" s="15"/>
    </row>
    <row r="25" customFormat="false" ht="15" hidden="false" customHeight="true" outlineLevel="0" collapsed="false">
      <c r="B25" s="15"/>
      <c r="C25" s="15"/>
      <c r="D25" s="15"/>
      <c r="E25" s="15"/>
      <c r="F25" s="15"/>
    </row>
    <row r="26" customFormat="false" ht="15" hidden="false" customHeight="true" outlineLevel="0" collapsed="false">
      <c r="B26" s="15" t="s">
        <v>461</v>
      </c>
      <c r="C26" s="15"/>
      <c r="D26" s="15"/>
      <c r="E26" s="15"/>
      <c r="F26" s="15"/>
    </row>
    <row r="27" customFormat="false" ht="15" hidden="false" customHeight="true" outlineLevel="0" collapsed="false">
      <c r="B27" s="15"/>
      <c r="C27" s="15"/>
      <c r="D27" s="15"/>
      <c r="E27" s="15"/>
      <c r="F27" s="15"/>
    </row>
    <row r="28" customFormat="false" ht="15" hidden="false" customHeight="true" outlineLevel="0" collapsed="false">
      <c r="B28" s="15" t="s">
        <v>462</v>
      </c>
      <c r="C28" s="15"/>
      <c r="D28" s="15"/>
      <c r="E28" s="15"/>
      <c r="F28" s="15"/>
    </row>
    <row r="29" customFormat="false" ht="15" hidden="false" customHeight="true" outlineLevel="0" collapsed="false">
      <c r="B29" s="15"/>
      <c r="C29" s="15"/>
      <c r="D29" s="15"/>
      <c r="E29" s="15"/>
      <c r="F29" s="15"/>
    </row>
  </sheetData>
  <mergeCells count="8">
    <mergeCell ref="B3:F3"/>
    <mergeCell ref="B5:F7"/>
    <mergeCell ref="B19:F19"/>
    <mergeCell ref="B20:F21"/>
    <mergeCell ref="B22:F23"/>
    <mergeCell ref="B24:F25"/>
    <mergeCell ref="B26:F27"/>
    <mergeCell ref="B28:F29"/>
  </mergeCells>
  <conditionalFormatting sqref="C16:F16">
    <cfRule type="cellIs" priority="2" operator="lessThan" aboveAverage="0" equalAverage="0" bottom="0" percent="0" rank="0" text="" dxfId="4">
      <formula>0</formula>
    </cfRule>
    <cfRule type="cellIs" priority="3" operator="greaterThanOrEqual" aboveAverage="0" equalAverage="0" bottom="0" percent="0" rank="0" text="" dxfId="5">
      <formula>0</formula>
    </cfRule>
  </conditionalFormatting>
  <conditionalFormatting sqref="C14:F14">
    <cfRule type="cellIs" priority="4" operator="lessThan" aboveAverage="0" equalAverage="0" bottom="0" percent="0" rank="0" text="" dxfId="4">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2026-09-16T05:16:58Z</dcterms:created>
  <dc:creator>openpyxl</dc:creator>
  <dc:description/>
  <dc:language>en-US</dc:language>
  <cp:lastModifiedBy/>
  <dcterms:modified xsi:type="dcterms:W3CDTF">2026-09-17T04:38:18Z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